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24" windowWidth="11340" windowHeight="6552" activeTab="2"/>
  </bookViews>
  <sheets>
    <sheet name="usord " sheetId="1" r:id="rId1"/>
    <sheet name="canord" sheetId="2" r:id="rId2"/>
    <sheet name="usgroup" sheetId="3" r:id="rId3"/>
    <sheet name="cangroup" sheetId="4" r:id="rId4"/>
  </sheets>
  <definedNames>
    <definedName name="_xlnm.Print_Area" localSheetId="1">'canord'!$A$1:$U$79</definedName>
  </definedNames>
  <calcPr fullCalcOnLoad="1"/>
</workbook>
</file>

<file path=xl/sharedStrings.xml><?xml version="1.0" encoding="utf-8"?>
<sst xmlns="http://schemas.openxmlformats.org/spreadsheetml/2006/main" count="342" uniqueCount="89">
  <si>
    <t>FileName</t>
  </si>
  <si>
    <t>Date</t>
  </si>
  <si>
    <t>Company</t>
  </si>
  <si>
    <t>Recur.</t>
  </si>
  <si>
    <t>Port.</t>
  </si>
  <si>
    <t>Retro.</t>
  </si>
  <si>
    <t>Total</t>
  </si>
  <si>
    <t>Percentage</t>
  </si>
  <si>
    <t>Increase</t>
  </si>
  <si>
    <t xml:space="preserve">        Market Share Percentages</t>
  </si>
  <si>
    <t>Guardian</t>
  </si>
  <si>
    <t>Manufacturers Life</t>
  </si>
  <si>
    <t>Munich American Re</t>
  </si>
  <si>
    <t>Optimum Re (US)</t>
  </si>
  <si>
    <t>Transamerica Re</t>
  </si>
  <si>
    <t>TOTALS</t>
  </si>
  <si>
    <t>U.S. ORDINARY REINSURANCE</t>
  </si>
  <si>
    <t>CANADIAN ORDINARY REINSURANCE</t>
  </si>
  <si>
    <t>Date:</t>
  </si>
  <si>
    <t>New</t>
  </si>
  <si>
    <t>Incr.</t>
  </si>
  <si>
    <t>Munich Re (Canada)</t>
  </si>
  <si>
    <t>Munich  Re (Canada)</t>
  </si>
  <si>
    <t>Optimum Re (Canada)</t>
  </si>
  <si>
    <t>RGA Re (Canada)</t>
  </si>
  <si>
    <t xml:space="preserve"> </t>
  </si>
  <si>
    <t xml:space="preserve">         Ordinary Reinsurance In Force</t>
  </si>
  <si>
    <t xml:space="preserve">        Ordinary Reinsurance Assumed</t>
  </si>
  <si>
    <t xml:space="preserve">          Ordinary Reinsurance In Force</t>
  </si>
  <si>
    <t xml:space="preserve">          Market Share Percentages</t>
  </si>
  <si>
    <t xml:space="preserve">         Ordinary Reinsurance Assumed</t>
  </si>
  <si>
    <t xml:space="preserve">            Market Share Percentages</t>
  </si>
  <si>
    <t xml:space="preserve">      Ordinary Reinsurance Assumed</t>
  </si>
  <si>
    <t xml:space="preserve">       Ordinary Reinsurance In Force</t>
  </si>
  <si>
    <t xml:space="preserve">        Ordinary Reinsurance In Force</t>
  </si>
  <si>
    <t xml:space="preserve">           Ordinary Reinsurance In Force</t>
  </si>
  <si>
    <t xml:space="preserve">         Group Reinsurance Assumed</t>
  </si>
  <si>
    <t xml:space="preserve">Swiss Re </t>
  </si>
  <si>
    <t xml:space="preserve">Canada Life </t>
  </si>
  <si>
    <t>Canada Life</t>
  </si>
  <si>
    <t>Scottish Re</t>
  </si>
  <si>
    <t>`</t>
  </si>
  <si>
    <t>Swiss Re</t>
  </si>
  <si>
    <t>General Re Life</t>
  </si>
  <si>
    <t>Pacific Life</t>
  </si>
  <si>
    <t xml:space="preserve">Generali USA Life Re </t>
  </si>
  <si>
    <t xml:space="preserve">Sun Life </t>
  </si>
  <si>
    <t>AXA Equitable</t>
  </si>
  <si>
    <t>RGA Re. Company</t>
  </si>
  <si>
    <t>Ace Tempest</t>
  </si>
  <si>
    <t>Retro</t>
  </si>
  <si>
    <t>Wilton Re</t>
  </si>
  <si>
    <t>Group Reinsurance Plus (Hartford)</t>
  </si>
  <si>
    <t>Scottish Re (US)</t>
  </si>
  <si>
    <t>XL Re Life America</t>
  </si>
  <si>
    <t>SCOR Global Life</t>
  </si>
  <si>
    <t>Direct</t>
  </si>
  <si>
    <t xml:space="preserve">         Group Reinsurance In Force</t>
  </si>
  <si>
    <t xml:space="preserve">                      Market Share Percentages</t>
  </si>
  <si>
    <t xml:space="preserve">                    Group Reinsurance Assumed</t>
  </si>
  <si>
    <t xml:space="preserve">                    Market Share Percentages</t>
  </si>
  <si>
    <t xml:space="preserve">                        Group Reinsurance In Force</t>
  </si>
  <si>
    <t>Percentage Increase</t>
  </si>
  <si>
    <t>ACE Tempest</t>
  </si>
  <si>
    <t xml:space="preserve">Employers Re. Corp. </t>
  </si>
  <si>
    <t>Employers Re Corp.</t>
  </si>
  <si>
    <t>Hannover Life Re</t>
  </si>
  <si>
    <t>U.S. ORDINARY REINSURANCE ASSUMED MARKET SHARE PERCENTAGES FOR 2007 AND 2008 ( AMOUNTS IN $U.S. MILLIONS)</t>
  </si>
  <si>
    <t>U.S. ORDINARY REINSURANCE IN FORCE MARKET SHARE PERCENTAGES FOR 2007 AND 2008 ( AMOUNTS IN $U.S. MILLIONS)</t>
  </si>
  <si>
    <t>CANADIAN ORDINARY REINSURANCE ASSUMED MARKET SHARE PERCENTAGES FOR 2007 AND 2008 ( AMOUNTS IN $CAN MILLIONS)</t>
  </si>
  <si>
    <t>CANADIAN ORDINARY REINSURANCE IN FORCE MARKET SHARE PERCENTAGES FOR 2007 AND 2008 ( AMOUNTS IN $CAN MILLIONS)</t>
  </si>
  <si>
    <t>U.S. GROUP REINSURANCE ASSUMED AND IN FORCE MARKET SHARE PERCENTAGES FOR 2007 AND 2008 (AMOUNTS IN $U.S. MILLIONS)</t>
  </si>
  <si>
    <t>U.S. GROUP REINSURANCE IN FORCE MARKET SHARE PERCENTAGES FOR 2007 AND 2008 (AMOUNTS IN $U.S. MILLIONS)</t>
  </si>
  <si>
    <t>CANADIAN GROUP REINSURANCE ASSUMED MARKET SHARE PERCENTAGES FOR 2007 AND 2008 (AMOUNTS IN $CAN MILLIONS)</t>
  </si>
  <si>
    <t>CANADIAN GROUP REINSURANCE IN FORCE MARKET SHARE PERCENTAGES FOR 2007 AND 2008 (AMOUNTS IN $CAN MILLIONS)</t>
  </si>
  <si>
    <t>Canadian Exchange Rate Used: 2007 = 1.01204 and 2008 = 0.818438</t>
  </si>
  <si>
    <t>ING Reinsurance</t>
  </si>
  <si>
    <t>DNR</t>
  </si>
  <si>
    <t>DNR: Did Not Report</t>
  </si>
  <si>
    <t>SCOR Global Life (US)</t>
  </si>
  <si>
    <t>SCOR Global Life (Canada)</t>
  </si>
  <si>
    <t>N/A</t>
  </si>
  <si>
    <t>Aurigen</t>
  </si>
  <si>
    <t>** Of the $27,394 reported in 2008, $26,044 is from an in-force block of business</t>
  </si>
  <si>
    <t>Generali USA Life Re**</t>
  </si>
  <si>
    <t>Canada Life *</t>
  </si>
  <si>
    <t>* Of the $289,622 reported in 2008, $289,565 is from an in-force block of business</t>
  </si>
  <si>
    <t>** $26,044 of the 2008 In Force total represents an in-force block of business</t>
  </si>
  <si>
    <t>* $289,565 of the 2008 In Force total represents an in-force block of business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</si>
</sst>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[$-409]dddd\,\ mmmm\ dd\,\ yyyy"/>
    <numFmt numFmtId="173" formatCode="[$-409]h:mm:ss\ AM/PM"/>
    <numFmt numFmtId="174" formatCode="0.0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0" fontId="2" fillId="0" borderId="1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10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10" fontId="1" fillId="0" borderId="1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34" xfId="0" applyFont="1" applyFill="1" applyBorder="1" applyAlignment="1">
      <alignment horizontal="center"/>
    </xf>
    <xf numFmtId="15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0" xfId="0" applyFont="1" applyFill="1" applyAlignment="1">
      <alignment/>
    </xf>
    <xf numFmtId="1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38" xfId="0" applyFont="1" applyFill="1" applyBorder="1" applyAlignment="1">
      <alignment/>
    </xf>
    <xf numFmtId="10" fontId="1" fillId="0" borderId="39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2" fillId="33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0" fontId="1" fillId="0" borderId="24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10" fontId="1" fillId="0" borderId="41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10" fontId="2" fillId="0" borderId="18" xfId="0" applyNumberFormat="1" applyFont="1" applyFill="1" applyBorder="1" applyAlignment="1">
      <alignment/>
    </xf>
    <xf numFmtId="10" fontId="2" fillId="0" borderId="17" xfId="0" applyNumberFormat="1" applyFont="1" applyFill="1" applyBorder="1" applyAlignment="1">
      <alignment/>
    </xf>
    <xf numFmtId="10" fontId="2" fillId="0" borderId="22" xfId="0" applyNumberFormat="1" applyFont="1" applyFill="1" applyBorder="1" applyAlignment="1">
      <alignment/>
    </xf>
    <xf numFmtId="10" fontId="2" fillId="0" borderId="18" xfId="0" applyNumberFormat="1" applyFont="1" applyBorder="1" applyAlignment="1">
      <alignment/>
    </xf>
    <xf numFmtId="10" fontId="1" fillId="0" borderId="15" xfId="0" applyNumberFormat="1" applyFont="1" applyFill="1" applyBorder="1" applyAlignment="1">
      <alignment/>
    </xf>
    <xf numFmtId="10" fontId="2" fillId="0" borderId="22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71" fontId="1" fillId="0" borderId="0" xfId="42" applyNumberFormat="1" applyFont="1" applyFill="1" applyBorder="1" applyAlignment="1">
      <alignment/>
    </xf>
    <xf numFmtId="0" fontId="1" fillId="0" borderId="0" xfId="0" applyFont="1" applyAlignment="1" quotePrefix="1">
      <alignment/>
    </xf>
    <xf numFmtId="37" fontId="1" fillId="0" borderId="24" xfId="42" applyNumberFormat="1" applyFont="1" applyFill="1" applyBorder="1" applyAlignment="1">
      <alignment/>
    </xf>
    <xf numFmtId="3" fontId="1" fillId="0" borderId="0" xfId="42" applyNumberFormat="1" applyFont="1" applyFill="1" applyBorder="1" applyAlignment="1">
      <alignment/>
    </xf>
    <xf numFmtId="3" fontId="1" fillId="0" borderId="24" xfId="42" applyNumberFormat="1" applyFont="1" applyFill="1" applyBorder="1" applyAlignment="1">
      <alignment/>
    </xf>
    <xf numFmtId="37" fontId="1" fillId="0" borderId="0" xfId="42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zoomScaleSheetLayoutView="100" zoomScalePageLayoutView="0" workbookViewId="0" topLeftCell="A31">
      <selection activeCell="G49" sqref="G49"/>
    </sheetView>
  </sheetViews>
  <sheetFormatPr defaultColWidth="9.140625" defaultRowHeight="15.75" customHeight="1"/>
  <cols>
    <col min="1" max="1" width="28.28125" style="60" customWidth="1"/>
    <col min="2" max="2" width="12.28125" style="60" customWidth="1"/>
    <col min="3" max="3" width="10.140625" style="60" bestFit="1" customWidth="1"/>
    <col min="4" max="4" width="9.421875" style="60" bestFit="1" customWidth="1"/>
    <col min="5" max="6" width="11.7109375" style="60" bestFit="1" customWidth="1"/>
    <col min="7" max="7" width="10.28125" style="60" bestFit="1" customWidth="1"/>
    <col min="8" max="8" width="9.421875" style="60" bestFit="1" customWidth="1"/>
    <col min="9" max="9" width="11.7109375" style="60" bestFit="1" customWidth="1"/>
    <col min="10" max="10" width="11.7109375" style="60" customWidth="1"/>
    <col min="11" max="11" width="13.421875" style="60" customWidth="1"/>
    <col min="12" max="12" width="11.7109375" style="60" customWidth="1"/>
    <col min="13" max="13" width="12.140625" style="60" customWidth="1"/>
    <col min="14" max="14" width="10.421875" style="60" customWidth="1"/>
    <col min="15" max="15" width="9.28125" style="60" bestFit="1" customWidth="1"/>
    <col min="16" max="16" width="10.28125" style="60" bestFit="1" customWidth="1"/>
    <col min="17" max="20" width="9.28125" style="60" bestFit="1" customWidth="1"/>
    <col min="21" max="16384" width="8.8515625" style="60" customWidth="1"/>
  </cols>
  <sheetData>
    <row r="1" spans="1:21" ht="15.75" customHeight="1">
      <c r="A1" s="75" t="s">
        <v>25</v>
      </c>
      <c r="B1" s="75" t="s">
        <v>25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5.75" customHeight="1">
      <c r="A2" s="75" t="s">
        <v>18</v>
      </c>
      <c r="B2" s="76">
        <v>39912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5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ht="15.75" customHeight="1">
      <c r="A4" s="75"/>
      <c r="B4" s="75"/>
      <c r="C4" s="24" t="s">
        <v>67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ht="15.75" customHeight="1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ht="15.75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</row>
    <row r="7" spans="1:21" ht="15.75" customHeight="1">
      <c r="A7" s="41"/>
      <c r="B7" s="42"/>
      <c r="C7" s="42"/>
      <c r="D7" s="42" t="s">
        <v>30</v>
      </c>
      <c r="E7" s="42"/>
      <c r="F7" s="42"/>
      <c r="G7" s="42"/>
      <c r="H7" s="42"/>
      <c r="I7" s="42"/>
      <c r="J7" s="108" t="s">
        <v>62</v>
      </c>
      <c r="K7" s="109"/>
      <c r="L7" s="109"/>
      <c r="M7" s="110"/>
      <c r="N7" s="42"/>
      <c r="O7" s="42"/>
      <c r="P7" s="42" t="s">
        <v>29</v>
      </c>
      <c r="Q7" s="42"/>
      <c r="R7" s="42"/>
      <c r="S7" s="42"/>
      <c r="T7" s="42"/>
      <c r="U7" s="44"/>
    </row>
    <row r="8" spans="1:21" ht="15.75" customHeight="1">
      <c r="A8" s="45"/>
      <c r="B8" s="42"/>
      <c r="C8" s="42">
        <v>2007</v>
      </c>
      <c r="D8" s="42"/>
      <c r="E8" s="46"/>
      <c r="F8" s="42"/>
      <c r="G8" s="42">
        <v>2008</v>
      </c>
      <c r="H8" s="42"/>
      <c r="I8" s="46"/>
      <c r="J8" s="85"/>
      <c r="K8" s="42"/>
      <c r="L8" s="42"/>
      <c r="M8" s="86" t="s">
        <v>25</v>
      </c>
      <c r="N8" s="42"/>
      <c r="O8" s="42">
        <f>+C8</f>
        <v>2007</v>
      </c>
      <c r="P8" s="42"/>
      <c r="Q8" s="46"/>
      <c r="R8" s="42"/>
      <c r="S8" s="42">
        <f>+G8</f>
        <v>2008</v>
      </c>
      <c r="T8" s="42"/>
      <c r="U8" s="44"/>
    </row>
    <row r="9" spans="1:21" ht="15.75" customHeight="1" thickBot="1">
      <c r="A9" s="48" t="s">
        <v>2</v>
      </c>
      <c r="B9" s="49" t="s">
        <v>3</v>
      </c>
      <c r="C9" s="49" t="s">
        <v>4</v>
      </c>
      <c r="D9" s="49" t="s">
        <v>5</v>
      </c>
      <c r="E9" s="50" t="s">
        <v>6</v>
      </c>
      <c r="F9" s="51" t="s">
        <v>3</v>
      </c>
      <c r="G9" s="51" t="s">
        <v>4</v>
      </c>
      <c r="H9" s="51" t="s">
        <v>5</v>
      </c>
      <c r="I9" s="52" t="s">
        <v>6</v>
      </c>
      <c r="J9" s="51" t="s">
        <v>3</v>
      </c>
      <c r="K9" s="51" t="s">
        <v>4</v>
      </c>
      <c r="L9" s="51" t="s">
        <v>5</v>
      </c>
      <c r="M9" s="52" t="s">
        <v>6</v>
      </c>
      <c r="N9" s="51" t="s">
        <v>3</v>
      </c>
      <c r="O9" s="51" t="s">
        <v>4</v>
      </c>
      <c r="P9" s="51" t="s">
        <v>5</v>
      </c>
      <c r="Q9" s="52" t="s">
        <v>6</v>
      </c>
      <c r="R9" s="51" t="s">
        <v>3</v>
      </c>
      <c r="S9" s="51" t="s">
        <v>4</v>
      </c>
      <c r="T9" s="51" t="s">
        <v>5</v>
      </c>
      <c r="U9" s="54" t="s">
        <v>6</v>
      </c>
    </row>
    <row r="10" spans="1:21" ht="15.75" customHeight="1" thickTop="1">
      <c r="A10" s="28"/>
      <c r="B10" s="61"/>
      <c r="C10" s="61"/>
      <c r="D10" s="61"/>
      <c r="E10" s="62" t="s">
        <v>25</v>
      </c>
      <c r="F10" s="61"/>
      <c r="G10" s="61"/>
      <c r="H10" s="61"/>
      <c r="I10" s="61" t="s">
        <v>25</v>
      </c>
      <c r="J10" s="90"/>
      <c r="K10" s="88"/>
      <c r="L10" s="88"/>
      <c r="M10" s="34" t="s">
        <v>25</v>
      </c>
      <c r="N10" s="61"/>
      <c r="O10" s="61"/>
      <c r="P10" s="61"/>
      <c r="Q10" s="62"/>
      <c r="R10" s="61"/>
      <c r="S10" s="61"/>
      <c r="T10" s="61"/>
      <c r="U10" s="63"/>
    </row>
    <row r="11" spans="1:21" ht="15" customHeight="1">
      <c r="A11" s="28" t="s">
        <v>49</v>
      </c>
      <c r="B11" s="29">
        <v>5154</v>
      </c>
      <c r="C11" s="29">
        <v>0</v>
      </c>
      <c r="D11" s="29">
        <v>0</v>
      </c>
      <c r="E11" s="30">
        <f aca="true" t="shared" si="0" ref="E11:E17">+B11+C11+D11</f>
        <v>5154</v>
      </c>
      <c r="F11" s="29">
        <v>10365</v>
      </c>
      <c r="G11" s="29">
        <v>0</v>
      </c>
      <c r="H11" s="29">
        <v>0</v>
      </c>
      <c r="I11" s="30">
        <f aca="true" t="shared" si="1" ref="I11:I31">+F11+G11+H11</f>
        <v>10365</v>
      </c>
      <c r="J11" s="87">
        <f>IF(+B11&gt;0,(+F11-B11)/B11,0)</f>
        <v>1.0110593713620488</v>
      </c>
      <c r="K11" s="33">
        <f>IF(+C11&gt;0,(+G11-C11)/C11,0)</f>
        <v>0</v>
      </c>
      <c r="L11" s="33">
        <f>IF(+D11&gt;0,(+H11-D11)/D11,0)</f>
        <v>0</v>
      </c>
      <c r="M11" s="34">
        <f>IF(+E11&gt;0,(+I11-E11)/E11,0)</f>
        <v>1.0110593713620488</v>
      </c>
      <c r="N11" s="33">
        <f aca="true" t="shared" si="2" ref="N11:N18">+B11/$B$32</f>
        <v>0.007545181053602407</v>
      </c>
      <c r="O11" s="33">
        <f aca="true" t="shared" si="3" ref="O11:O18">+C11/$C$32</f>
        <v>0</v>
      </c>
      <c r="P11" s="33">
        <f aca="true" t="shared" si="4" ref="P11:P18">+D11/$D$32</f>
        <v>0</v>
      </c>
      <c r="Q11" s="34">
        <f aca="true" t="shared" si="5" ref="Q11:Q18">+E11/$E$32</f>
        <v>0.006890070357858544</v>
      </c>
      <c r="R11" s="33">
        <f aca="true" t="shared" si="6" ref="R11:R31">+F11/$F$32</f>
        <v>0.01575728460863709</v>
      </c>
      <c r="S11" s="33">
        <f aca="true" t="shared" si="7" ref="S11:S31">+G11/$G$32</f>
        <v>0</v>
      </c>
      <c r="T11" s="33">
        <f aca="true" t="shared" si="8" ref="T11:T31">+H11/$H$32</f>
        <v>0</v>
      </c>
      <c r="U11" s="35">
        <f aca="true" t="shared" si="9" ref="U11:U31">+I11/$I$32</f>
        <v>0.010986681365040836</v>
      </c>
    </row>
    <row r="12" spans="1:21" ht="15" customHeight="1">
      <c r="A12" s="28" t="s">
        <v>47</v>
      </c>
      <c r="B12" s="29">
        <v>0</v>
      </c>
      <c r="C12" s="29">
        <v>0</v>
      </c>
      <c r="D12" s="29">
        <v>3821</v>
      </c>
      <c r="E12" s="30">
        <f t="shared" si="0"/>
        <v>3821</v>
      </c>
      <c r="F12" s="29">
        <v>0</v>
      </c>
      <c r="G12" s="29">
        <v>0</v>
      </c>
      <c r="H12" s="29">
        <v>4036</v>
      </c>
      <c r="I12" s="30">
        <f>+F12+G12+H12</f>
        <v>4036</v>
      </c>
      <c r="J12" s="87">
        <f aca="true" t="shared" si="10" ref="J12:J31">IF(+B12&gt;0,(+F12-B12)/B12,0)</f>
        <v>0</v>
      </c>
      <c r="K12" s="33">
        <f aca="true" t="shared" si="11" ref="K12:K30">IF(+C12&gt;0,(+G12-C12)/C12,0)</f>
        <v>0</v>
      </c>
      <c r="L12" s="33">
        <f aca="true" t="shared" si="12" ref="L12:L31">IF(+D12&gt;0,(+H12-D12)/D12,0)</f>
        <v>0.05626799267207537</v>
      </c>
      <c r="M12" s="34">
        <f aca="true" t="shared" si="13" ref="M12:M32">IF(+E12&gt;0,(+I12-E12)/E12,0)</f>
        <v>0.05626799267207537</v>
      </c>
      <c r="N12" s="33">
        <f t="shared" si="2"/>
        <v>0</v>
      </c>
      <c r="O12" s="33">
        <f t="shared" si="3"/>
        <v>0</v>
      </c>
      <c r="P12" s="33">
        <f t="shared" si="4"/>
        <v>0.12783539645366343</v>
      </c>
      <c r="Q12" s="34">
        <f t="shared" si="5"/>
        <v>0.005108063414314609</v>
      </c>
      <c r="R12" s="33">
        <f t="shared" si="6"/>
        <v>0</v>
      </c>
      <c r="S12" s="33">
        <f t="shared" si="7"/>
        <v>0</v>
      </c>
      <c r="T12" s="33">
        <f t="shared" si="8"/>
        <v>0.13995422706151606</v>
      </c>
      <c r="U12" s="35">
        <f t="shared" si="9"/>
        <v>0.0042780748663101605</v>
      </c>
    </row>
    <row r="13" spans="1:21" ht="15.75" customHeight="1">
      <c r="A13" s="28" t="s">
        <v>38</v>
      </c>
      <c r="B13" s="29">
        <v>26116</v>
      </c>
      <c r="C13" s="29">
        <v>0</v>
      </c>
      <c r="D13" s="29">
        <v>0</v>
      </c>
      <c r="E13" s="30">
        <f t="shared" si="0"/>
        <v>26116</v>
      </c>
      <c r="F13" s="29">
        <v>16800</v>
      </c>
      <c r="G13" s="29">
        <v>8148</v>
      </c>
      <c r="H13" s="29">
        <v>0</v>
      </c>
      <c r="I13" s="30">
        <f t="shared" si="1"/>
        <v>24948</v>
      </c>
      <c r="J13" s="87">
        <f t="shared" si="10"/>
        <v>-0.3567161893092357</v>
      </c>
      <c r="K13" s="33">
        <f t="shared" si="11"/>
        <v>0</v>
      </c>
      <c r="L13" s="33">
        <f t="shared" si="12"/>
        <v>0</v>
      </c>
      <c r="M13" s="34">
        <f t="shared" si="13"/>
        <v>-0.04472354112421504</v>
      </c>
      <c r="N13" s="33">
        <f t="shared" si="2"/>
        <v>0.03823243081022128</v>
      </c>
      <c r="O13" s="33">
        <f t="shared" si="3"/>
        <v>0</v>
      </c>
      <c r="P13" s="33">
        <f t="shared" si="4"/>
        <v>0</v>
      </c>
      <c r="Q13" s="34">
        <f t="shared" si="5"/>
        <v>0.03491289822775198</v>
      </c>
      <c r="R13" s="33">
        <f t="shared" si="6"/>
        <v>0.025540027151481244</v>
      </c>
      <c r="S13" s="33">
        <f t="shared" si="7"/>
        <v>0.03173070182953899</v>
      </c>
      <c r="T13" s="33">
        <f t="shared" si="8"/>
        <v>0</v>
      </c>
      <c r="U13" s="35">
        <f t="shared" si="9"/>
        <v>0.026444353757360227</v>
      </c>
    </row>
    <row r="14" spans="1:21" ht="15.75" customHeight="1">
      <c r="A14" s="28" t="s">
        <v>64</v>
      </c>
      <c r="B14" s="29">
        <v>228</v>
      </c>
      <c r="C14" s="29">
        <v>0</v>
      </c>
      <c r="D14" s="29">
        <v>0</v>
      </c>
      <c r="E14" s="30">
        <f t="shared" si="0"/>
        <v>228</v>
      </c>
      <c r="F14" s="29">
        <v>134</v>
      </c>
      <c r="G14" s="29">
        <v>0</v>
      </c>
      <c r="H14" s="29">
        <v>0</v>
      </c>
      <c r="I14" s="30">
        <f t="shared" si="1"/>
        <v>134</v>
      </c>
      <c r="J14" s="87">
        <f t="shared" si="10"/>
        <v>-0.41228070175438597</v>
      </c>
      <c r="K14" s="33">
        <f t="shared" si="11"/>
        <v>0</v>
      </c>
      <c r="L14" s="33">
        <f t="shared" si="12"/>
        <v>0</v>
      </c>
      <c r="M14" s="34">
        <f t="shared" si="13"/>
        <v>-0.41228070175438597</v>
      </c>
      <c r="N14" s="33">
        <f t="shared" si="2"/>
        <v>0.00033377983706273746</v>
      </c>
      <c r="O14" s="33">
        <f t="shared" si="3"/>
        <v>0</v>
      </c>
      <c r="P14" s="33">
        <f t="shared" si="4"/>
        <v>0</v>
      </c>
      <c r="Q14" s="34">
        <f t="shared" si="5"/>
        <v>0.00030479938719281104</v>
      </c>
      <c r="R14" s="33">
        <f t="shared" si="6"/>
        <v>0.0002037121213272909</v>
      </c>
      <c r="S14" s="33">
        <f t="shared" si="7"/>
        <v>0</v>
      </c>
      <c r="T14" s="33">
        <f t="shared" si="8"/>
        <v>0</v>
      </c>
      <c r="U14" s="35">
        <f t="shared" si="9"/>
        <v>0.00014203717346024814</v>
      </c>
    </row>
    <row r="15" spans="1:21" ht="15.75" customHeight="1">
      <c r="A15" s="28" t="s">
        <v>43</v>
      </c>
      <c r="B15" s="29">
        <v>14738</v>
      </c>
      <c r="C15" s="29">
        <v>0</v>
      </c>
      <c r="D15" s="29">
        <v>0</v>
      </c>
      <c r="E15" s="30">
        <f t="shared" si="0"/>
        <v>14738</v>
      </c>
      <c r="F15" s="29">
        <v>14388</v>
      </c>
      <c r="G15" s="29">
        <v>0</v>
      </c>
      <c r="H15" s="29">
        <v>0</v>
      </c>
      <c r="I15" s="30">
        <f>+F15+G15+H15</f>
        <v>14388</v>
      </c>
      <c r="J15" s="87">
        <f t="shared" si="10"/>
        <v>-0.023748134075179807</v>
      </c>
      <c r="K15" s="33">
        <f t="shared" si="11"/>
        <v>0</v>
      </c>
      <c r="L15" s="33">
        <f t="shared" si="12"/>
        <v>0</v>
      </c>
      <c r="M15" s="34">
        <f t="shared" si="13"/>
        <v>-0.023748134075179807</v>
      </c>
      <c r="N15" s="33">
        <f t="shared" si="2"/>
        <v>0.02157564578346765</v>
      </c>
      <c r="O15" s="33">
        <f t="shared" si="3"/>
        <v>0</v>
      </c>
      <c r="P15" s="33">
        <f t="shared" si="4"/>
        <v>0</v>
      </c>
      <c r="Q15" s="34">
        <f t="shared" si="5"/>
        <v>0.019702339335296706</v>
      </c>
      <c r="R15" s="33">
        <f t="shared" si="6"/>
        <v>0.02187320896759001</v>
      </c>
      <c r="S15" s="33">
        <f t="shared" si="7"/>
        <v>0</v>
      </c>
      <c r="T15" s="33">
        <f t="shared" si="8"/>
        <v>0</v>
      </c>
      <c r="U15" s="35">
        <f t="shared" si="9"/>
        <v>0.015250976505567539</v>
      </c>
    </row>
    <row r="16" spans="1:21" ht="15.75" customHeight="1">
      <c r="A16" s="28" t="s">
        <v>45</v>
      </c>
      <c r="B16" s="29">
        <v>73985</v>
      </c>
      <c r="C16" s="29">
        <v>0</v>
      </c>
      <c r="D16" s="29">
        <v>0</v>
      </c>
      <c r="E16" s="30">
        <f t="shared" si="0"/>
        <v>73985</v>
      </c>
      <c r="F16" s="29">
        <v>82423</v>
      </c>
      <c r="G16" s="29">
        <v>0</v>
      </c>
      <c r="H16" s="29">
        <v>0</v>
      </c>
      <c r="I16" s="30">
        <f>+F16+G16+H16</f>
        <v>82423</v>
      </c>
      <c r="J16" s="87">
        <f t="shared" si="10"/>
        <v>0.11405014529972292</v>
      </c>
      <c r="K16" s="33">
        <f t="shared" si="11"/>
        <v>0</v>
      </c>
      <c r="L16" s="33">
        <f t="shared" si="12"/>
        <v>0</v>
      </c>
      <c r="M16" s="34">
        <f t="shared" si="13"/>
        <v>0.11405014529972292</v>
      </c>
      <c r="N16" s="33">
        <f t="shared" si="2"/>
        <v>0.10831009318020451</v>
      </c>
      <c r="O16" s="33">
        <f t="shared" si="3"/>
        <v>0</v>
      </c>
      <c r="P16" s="33">
        <f t="shared" si="4"/>
        <v>0</v>
      </c>
      <c r="Q16" s="34">
        <f t="shared" si="5"/>
        <v>0.09890606430464965</v>
      </c>
      <c r="R16" s="33">
        <f t="shared" si="6"/>
        <v>0.12530271773253207</v>
      </c>
      <c r="S16" s="33">
        <f t="shared" si="7"/>
        <v>0</v>
      </c>
      <c r="T16" s="33">
        <f t="shared" si="8"/>
        <v>0</v>
      </c>
      <c r="U16" s="35">
        <f t="shared" si="9"/>
        <v>0.08736664140383607</v>
      </c>
    </row>
    <row r="17" spans="1:21" ht="15.75" customHeight="1">
      <c r="A17" s="28" t="s">
        <v>10</v>
      </c>
      <c r="B17" s="29">
        <v>0</v>
      </c>
      <c r="C17" s="29">
        <v>0</v>
      </c>
      <c r="D17" s="29">
        <v>40</v>
      </c>
      <c r="E17" s="30">
        <f t="shared" si="0"/>
        <v>40</v>
      </c>
      <c r="F17" s="29">
        <v>0</v>
      </c>
      <c r="G17" s="29">
        <v>0</v>
      </c>
      <c r="H17" s="29">
        <v>35</v>
      </c>
      <c r="I17" s="30">
        <f>+F17+G17+H17</f>
        <v>35</v>
      </c>
      <c r="J17" s="87">
        <f t="shared" si="10"/>
        <v>0</v>
      </c>
      <c r="K17" s="33">
        <f t="shared" si="11"/>
        <v>0</v>
      </c>
      <c r="L17" s="33">
        <f t="shared" si="12"/>
        <v>-0.125</v>
      </c>
      <c r="M17" s="34">
        <f t="shared" si="13"/>
        <v>-0.125</v>
      </c>
      <c r="N17" s="33">
        <f t="shared" si="2"/>
        <v>0</v>
      </c>
      <c r="O17" s="33">
        <f t="shared" si="3"/>
        <v>0</v>
      </c>
      <c r="P17" s="33">
        <f t="shared" si="4"/>
        <v>0.0013382402141184342</v>
      </c>
      <c r="Q17" s="34">
        <f t="shared" si="5"/>
        <v>5.347357670049316E-05</v>
      </c>
      <c r="R17" s="33">
        <f t="shared" si="6"/>
        <v>0</v>
      </c>
      <c r="S17" s="33">
        <f t="shared" si="7"/>
        <v>0</v>
      </c>
      <c r="T17" s="33">
        <f t="shared" si="8"/>
        <v>0.001213676399195506</v>
      </c>
      <c r="U17" s="35">
        <f t="shared" si="9"/>
        <v>3.709926172469168E-05</v>
      </c>
    </row>
    <row r="18" spans="1:21" ht="15.75" customHeight="1">
      <c r="A18" s="28" t="s">
        <v>66</v>
      </c>
      <c r="B18" s="29">
        <v>5525</v>
      </c>
      <c r="C18" s="29">
        <v>25375</v>
      </c>
      <c r="D18" s="29">
        <v>230</v>
      </c>
      <c r="E18" s="30">
        <f>+B18+C18+D18</f>
        <v>31130</v>
      </c>
      <c r="F18" s="29">
        <v>17913</v>
      </c>
      <c r="G18" s="29">
        <v>218493</v>
      </c>
      <c r="H18" s="29">
        <v>0</v>
      </c>
      <c r="I18" s="30">
        <f t="shared" si="1"/>
        <v>236406</v>
      </c>
      <c r="J18" s="87">
        <f t="shared" si="10"/>
        <v>2.2421719457013576</v>
      </c>
      <c r="K18" s="33">
        <f t="shared" si="11"/>
        <v>7.61056157635468</v>
      </c>
      <c r="L18" s="33">
        <f t="shared" si="12"/>
        <v>-1</v>
      </c>
      <c r="M18" s="34">
        <f t="shared" si="13"/>
        <v>6.594153549630581</v>
      </c>
      <c r="N18" s="33">
        <f t="shared" si="2"/>
        <v>0.008088305262156247</v>
      </c>
      <c r="O18" s="33">
        <f t="shared" si="3"/>
        <v>0.7238005590735352</v>
      </c>
      <c r="P18" s="33">
        <f t="shared" si="4"/>
        <v>0.007694881231180997</v>
      </c>
      <c r="Q18" s="34">
        <f t="shared" si="5"/>
        <v>0.0416158110671588</v>
      </c>
      <c r="R18" s="33">
        <f t="shared" si="6"/>
        <v>0.027232053950266878</v>
      </c>
      <c r="S18" s="33">
        <f t="shared" si="7"/>
        <v>0.8508758265637535</v>
      </c>
      <c r="T18" s="33">
        <f t="shared" si="8"/>
        <v>0</v>
      </c>
      <c r="U18" s="35">
        <f t="shared" si="9"/>
        <v>0.25058537335107034</v>
      </c>
    </row>
    <row r="19" spans="1:21" ht="15.75" customHeight="1">
      <c r="A19" s="28" t="s">
        <v>11</v>
      </c>
      <c r="B19" s="29">
        <v>0</v>
      </c>
      <c r="C19" s="29">
        <v>0</v>
      </c>
      <c r="D19" s="29">
        <v>14321</v>
      </c>
      <c r="E19" s="30">
        <f>+B19+C19+D19</f>
        <v>14321</v>
      </c>
      <c r="F19" s="29">
        <v>0</v>
      </c>
      <c r="G19" s="29">
        <v>0</v>
      </c>
      <c r="H19" s="29">
        <v>13102</v>
      </c>
      <c r="I19" s="30">
        <f t="shared" si="1"/>
        <v>13102</v>
      </c>
      <c r="J19" s="87">
        <f t="shared" si="10"/>
        <v>0</v>
      </c>
      <c r="K19" s="33">
        <f t="shared" si="11"/>
        <v>0</v>
      </c>
      <c r="L19" s="33">
        <f t="shared" si="12"/>
        <v>-0.08511975420710845</v>
      </c>
      <c r="M19" s="34">
        <f t="shared" si="13"/>
        <v>-0.08511975420710845</v>
      </c>
      <c r="N19" s="33">
        <f aca="true" t="shared" si="14" ref="N19:N31">+B19/$B$32</f>
        <v>0</v>
      </c>
      <c r="O19" s="33">
        <f aca="true" t="shared" si="15" ref="O19:O31">+C19/$C$32</f>
        <v>0</v>
      </c>
      <c r="P19" s="33">
        <f aca="true" t="shared" si="16" ref="P19:P31">+D19/$D$32</f>
        <v>0.4791234526597524</v>
      </c>
      <c r="Q19" s="34">
        <f aca="true" t="shared" si="17" ref="Q19:Q31">+E19/$E$32</f>
        <v>0.019144877298194064</v>
      </c>
      <c r="R19" s="33">
        <f t="shared" si="6"/>
        <v>0</v>
      </c>
      <c r="S19" s="33">
        <f t="shared" si="7"/>
        <v>0</v>
      </c>
      <c r="T19" s="33">
        <f t="shared" si="8"/>
        <v>0.45433109092170054</v>
      </c>
      <c r="U19" s="35">
        <f t="shared" si="9"/>
        <v>0.013887843631911725</v>
      </c>
    </row>
    <row r="20" spans="1:21" ht="15.75" customHeight="1">
      <c r="A20" s="28" t="s">
        <v>12</v>
      </c>
      <c r="B20" s="29">
        <v>60310</v>
      </c>
      <c r="C20" s="29">
        <v>1</v>
      </c>
      <c r="D20" s="29">
        <v>162</v>
      </c>
      <c r="E20" s="30">
        <f>+B20+C20+D20</f>
        <v>60473</v>
      </c>
      <c r="F20" s="29">
        <v>49634</v>
      </c>
      <c r="G20" s="29">
        <v>10001</v>
      </c>
      <c r="H20" s="29">
        <v>263</v>
      </c>
      <c r="I20" s="30">
        <f t="shared" si="1"/>
        <v>59898</v>
      </c>
      <c r="J20" s="87">
        <f t="shared" si="10"/>
        <v>-0.17701873652793898</v>
      </c>
      <c r="K20" s="33">
        <v>1</v>
      </c>
      <c r="L20" s="33">
        <f t="shared" si="12"/>
        <v>0.6234567901234568</v>
      </c>
      <c r="M20" s="34">
        <f t="shared" si="13"/>
        <v>-0.009508375638714798</v>
      </c>
      <c r="N20" s="33">
        <f t="shared" si="14"/>
        <v>0.08829062268970919</v>
      </c>
      <c r="O20" s="33">
        <f t="shared" si="15"/>
        <v>2.8524159963489076E-05</v>
      </c>
      <c r="P20" s="33">
        <f t="shared" si="16"/>
        <v>0.005419872867179659</v>
      </c>
      <c r="Q20" s="34">
        <f t="shared" si="17"/>
        <v>0.08084269009522307</v>
      </c>
      <c r="R20" s="33">
        <f t="shared" si="6"/>
        <v>0.0754555778355131</v>
      </c>
      <c r="S20" s="33">
        <f t="shared" si="7"/>
        <v>0.038946827319246376</v>
      </c>
      <c r="T20" s="33">
        <f t="shared" si="8"/>
        <v>0.009119911228240516</v>
      </c>
      <c r="U20" s="35">
        <f t="shared" si="9"/>
        <v>0.06349061653673092</v>
      </c>
    </row>
    <row r="21" spans="1:21" ht="15.75" customHeight="1">
      <c r="A21" s="28" t="s">
        <v>13</v>
      </c>
      <c r="B21" s="29">
        <v>6546</v>
      </c>
      <c r="C21" s="29">
        <v>0</v>
      </c>
      <c r="D21" s="29">
        <v>0</v>
      </c>
      <c r="E21" s="30">
        <f>+B21+C21+D21</f>
        <v>6546</v>
      </c>
      <c r="F21" s="29">
        <v>6555</v>
      </c>
      <c r="G21" s="29">
        <v>349</v>
      </c>
      <c r="H21" s="29">
        <v>0</v>
      </c>
      <c r="I21" s="30">
        <f t="shared" si="1"/>
        <v>6904</v>
      </c>
      <c r="J21" s="87">
        <f t="shared" si="10"/>
        <v>0.001374885426214482</v>
      </c>
      <c r="K21" s="33">
        <f t="shared" si="11"/>
        <v>0</v>
      </c>
      <c r="L21" s="33">
        <f t="shared" si="12"/>
        <v>0</v>
      </c>
      <c r="M21" s="34">
        <f t="shared" si="13"/>
        <v>0.05468988695386495</v>
      </c>
      <c r="N21" s="33">
        <f t="shared" si="14"/>
        <v>0.009582994795669646</v>
      </c>
      <c r="O21" s="33">
        <f t="shared" si="15"/>
        <v>0</v>
      </c>
      <c r="P21" s="33">
        <f t="shared" si="16"/>
        <v>0</v>
      </c>
      <c r="Q21" s="34">
        <f t="shared" si="17"/>
        <v>0.008750950827035706</v>
      </c>
      <c r="R21" s="33">
        <f t="shared" si="6"/>
        <v>0.009965171308211878</v>
      </c>
      <c r="S21" s="33">
        <f t="shared" si="7"/>
        <v>0.001359108362605438</v>
      </c>
      <c r="T21" s="33">
        <f t="shared" si="8"/>
        <v>0</v>
      </c>
      <c r="U21" s="35">
        <f t="shared" si="9"/>
        <v>0.007318094369922038</v>
      </c>
    </row>
    <row r="22" spans="1:21" ht="15.75" customHeight="1">
      <c r="A22" s="28" t="s">
        <v>44</v>
      </c>
      <c r="B22" s="29">
        <v>0</v>
      </c>
      <c r="C22" s="29">
        <v>0</v>
      </c>
      <c r="D22" s="29">
        <v>682</v>
      </c>
      <c r="E22" s="30">
        <f>+B22+C22+D22</f>
        <v>682</v>
      </c>
      <c r="F22" s="29">
        <v>0</v>
      </c>
      <c r="G22" s="29">
        <v>0</v>
      </c>
      <c r="H22" s="29">
        <v>140</v>
      </c>
      <c r="I22" s="30">
        <f t="shared" si="1"/>
        <v>140</v>
      </c>
      <c r="J22" s="87">
        <f t="shared" si="10"/>
        <v>0</v>
      </c>
      <c r="K22" s="33">
        <f t="shared" si="11"/>
        <v>0</v>
      </c>
      <c r="L22" s="33">
        <f t="shared" si="12"/>
        <v>-0.7947214076246334</v>
      </c>
      <c r="M22" s="34">
        <f t="shared" si="13"/>
        <v>-0.7947214076246334</v>
      </c>
      <c r="N22" s="33">
        <f t="shared" si="14"/>
        <v>0</v>
      </c>
      <c r="O22" s="33">
        <f t="shared" si="15"/>
        <v>0</v>
      </c>
      <c r="P22" s="33">
        <f t="shared" si="16"/>
        <v>0.022816995650719304</v>
      </c>
      <c r="Q22" s="34">
        <f t="shared" si="17"/>
        <v>0.0009117244827434083</v>
      </c>
      <c r="R22" s="33">
        <f t="shared" si="6"/>
        <v>0</v>
      </c>
      <c r="S22" s="33">
        <f t="shared" si="7"/>
        <v>0</v>
      </c>
      <c r="T22" s="33">
        <f t="shared" si="8"/>
        <v>0.004854705596782024</v>
      </c>
      <c r="U22" s="35">
        <f t="shared" si="9"/>
        <v>0.00014839704689876673</v>
      </c>
    </row>
    <row r="23" spans="1:21" ht="15.75" customHeight="1">
      <c r="A23" s="28" t="s">
        <v>48</v>
      </c>
      <c r="B23" s="29">
        <v>161091</v>
      </c>
      <c r="C23" s="29">
        <v>1670</v>
      </c>
      <c r="D23" s="29">
        <v>0</v>
      </c>
      <c r="E23" s="30">
        <f aca="true" t="shared" si="18" ref="E23:E31">+B23+C23+D23</f>
        <v>162761</v>
      </c>
      <c r="F23" s="29">
        <v>132474</v>
      </c>
      <c r="G23" s="29">
        <v>6077</v>
      </c>
      <c r="H23" s="29">
        <v>0</v>
      </c>
      <c r="I23" s="30">
        <f t="shared" si="1"/>
        <v>138551</v>
      </c>
      <c r="J23" s="87">
        <f t="shared" si="10"/>
        <v>-0.17764493360895395</v>
      </c>
      <c r="K23" s="33">
        <f t="shared" si="11"/>
        <v>2.638922155688623</v>
      </c>
      <c r="L23" s="33">
        <f t="shared" si="12"/>
        <v>0</v>
      </c>
      <c r="M23" s="34">
        <f t="shared" si="13"/>
        <v>-0.1487457068953865</v>
      </c>
      <c r="N23" s="33">
        <f t="shared" si="14"/>
        <v>0.23582863040470806</v>
      </c>
      <c r="O23" s="33">
        <f t="shared" si="15"/>
        <v>0.04763534713902676</v>
      </c>
      <c r="P23" s="33">
        <f t="shared" si="16"/>
        <v>0</v>
      </c>
      <c r="Q23" s="34">
        <f t="shared" si="17"/>
        <v>0.2175853204337242</v>
      </c>
      <c r="R23" s="33">
        <f t="shared" si="6"/>
        <v>0.201392235527698</v>
      </c>
      <c r="S23" s="33">
        <f t="shared" si="7"/>
        <v>0.023665620399866038</v>
      </c>
      <c r="T23" s="33">
        <f t="shared" si="8"/>
        <v>0</v>
      </c>
      <c r="U23" s="35">
        <f t="shared" si="9"/>
        <v>0.1468611374633645</v>
      </c>
    </row>
    <row r="24" spans="1:21" ht="15.75" customHeight="1">
      <c r="A24" s="28" t="s">
        <v>24</v>
      </c>
      <c r="B24" s="29">
        <v>160</v>
      </c>
      <c r="C24" s="29">
        <v>0</v>
      </c>
      <c r="D24" s="29">
        <v>0</v>
      </c>
      <c r="E24" s="30">
        <f t="shared" si="18"/>
        <v>160</v>
      </c>
      <c r="F24" s="29">
        <v>232</v>
      </c>
      <c r="G24" s="29">
        <v>0</v>
      </c>
      <c r="H24" s="29">
        <v>0</v>
      </c>
      <c r="I24" s="30">
        <f t="shared" si="1"/>
        <v>232</v>
      </c>
      <c r="J24" s="87">
        <f t="shared" si="10"/>
        <v>0.45</v>
      </c>
      <c r="K24" s="33">
        <f t="shared" si="11"/>
        <v>0</v>
      </c>
      <c r="L24" s="33">
        <f t="shared" si="12"/>
        <v>0</v>
      </c>
      <c r="M24" s="34">
        <f t="shared" si="13"/>
        <v>0.45</v>
      </c>
      <c r="N24" s="33">
        <f t="shared" si="14"/>
        <v>0.00023423146460542979</v>
      </c>
      <c r="O24" s="33">
        <f t="shared" si="15"/>
        <v>0</v>
      </c>
      <c r="P24" s="33">
        <f t="shared" si="16"/>
        <v>0</v>
      </c>
      <c r="Q24" s="34">
        <f t="shared" si="17"/>
        <v>0.00021389430680197264</v>
      </c>
      <c r="R24" s="33">
        <f t="shared" si="6"/>
        <v>0.0003526956130442648</v>
      </c>
      <c r="S24" s="33">
        <f t="shared" si="7"/>
        <v>0</v>
      </c>
      <c r="T24" s="33">
        <f t="shared" si="8"/>
        <v>0</v>
      </c>
      <c r="U24" s="35">
        <f t="shared" si="9"/>
        <v>0.0002459151062893848</v>
      </c>
    </row>
    <row r="25" spans="1:22" ht="15.75" customHeight="1">
      <c r="A25" s="28" t="s">
        <v>79</v>
      </c>
      <c r="B25" s="29">
        <v>24520</v>
      </c>
      <c r="C25" s="29">
        <v>0</v>
      </c>
      <c r="D25" s="29">
        <v>0</v>
      </c>
      <c r="E25" s="30">
        <f t="shared" si="18"/>
        <v>24520</v>
      </c>
      <c r="F25" s="29">
        <v>17838</v>
      </c>
      <c r="G25" s="29">
        <v>0</v>
      </c>
      <c r="H25" s="29">
        <v>0</v>
      </c>
      <c r="I25" s="30">
        <f t="shared" si="1"/>
        <v>17838</v>
      </c>
      <c r="J25" s="87">
        <f t="shared" si="10"/>
        <v>-0.2725122349102773</v>
      </c>
      <c r="K25" s="33">
        <f t="shared" si="11"/>
        <v>0</v>
      </c>
      <c r="L25" s="33">
        <f t="shared" si="12"/>
        <v>0</v>
      </c>
      <c r="M25" s="34">
        <f t="shared" si="13"/>
        <v>-0.2725122349102773</v>
      </c>
      <c r="N25" s="33">
        <f t="shared" si="14"/>
        <v>0.03589597195078211</v>
      </c>
      <c r="O25" s="33">
        <f t="shared" si="15"/>
        <v>0</v>
      </c>
      <c r="P25" s="33">
        <f t="shared" si="16"/>
        <v>0</v>
      </c>
      <c r="Q25" s="34">
        <f t="shared" si="17"/>
        <v>0.032779302517402305</v>
      </c>
      <c r="R25" s="33">
        <f t="shared" si="6"/>
        <v>0.02711803597191205</v>
      </c>
      <c r="S25" s="33">
        <f t="shared" si="7"/>
        <v>0</v>
      </c>
      <c r="T25" s="33">
        <f t="shared" si="8"/>
        <v>0</v>
      </c>
      <c r="U25" s="35">
        <f t="shared" si="9"/>
        <v>0.018907903732715718</v>
      </c>
      <c r="V25" s="60" t="s">
        <v>41</v>
      </c>
    </row>
    <row r="26" spans="1:21" ht="15.75" customHeight="1">
      <c r="A26" s="28" t="s">
        <v>53</v>
      </c>
      <c r="B26" s="29">
        <v>22786</v>
      </c>
      <c r="C26" s="29">
        <v>0</v>
      </c>
      <c r="D26" s="29">
        <v>0</v>
      </c>
      <c r="E26" s="30">
        <f t="shared" si="18"/>
        <v>22786</v>
      </c>
      <c r="F26" s="29">
        <v>5982</v>
      </c>
      <c r="G26" s="29">
        <v>0</v>
      </c>
      <c r="H26" s="29">
        <v>0</v>
      </c>
      <c r="I26" s="30">
        <f>+F26+G26+H26</f>
        <v>5982</v>
      </c>
      <c r="J26" s="87">
        <f t="shared" si="10"/>
        <v>-0.7374703765470025</v>
      </c>
      <c r="K26" s="33">
        <f t="shared" si="11"/>
        <v>0</v>
      </c>
      <c r="L26" s="33">
        <f t="shared" si="12"/>
        <v>0</v>
      </c>
      <c r="M26" s="34">
        <f t="shared" si="13"/>
        <v>-0.7374703765470025</v>
      </c>
      <c r="N26" s="33">
        <f t="shared" si="14"/>
        <v>0.03335748845312077</v>
      </c>
      <c r="O26" s="33">
        <f t="shared" si="15"/>
        <v>0</v>
      </c>
      <c r="P26" s="33">
        <f t="shared" si="16"/>
        <v>0</v>
      </c>
      <c r="Q26" s="34">
        <f t="shared" si="17"/>
        <v>0.03046122296743593</v>
      </c>
      <c r="R26" s="33">
        <f t="shared" si="6"/>
        <v>0.009094073953581</v>
      </c>
      <c r="S26" s="33">
        <f t="shared" si="7"/>
        <v>0</v>
      </c>
      <c r="T26" s="33">
        <f t="shared" si="8"/>
        <v>0</v>
      </c>
      <c r="U26" s="35">
        <f t="shared" si="9"/>
        <v>0.0063407938182030174</v>
      </c>
    </row>
    <row r="27" spans="1:21" ht="15.75" customHeight="1">
      <c r="A27" s="28" t="s">
        <v>46</v>
      </c>
      <c r="B27" s="29">
        <v>0</v>
      </c>
      <c r="C27" s="29">
        <v>0</v>
      </c>
      <c r="D27" s="29">
        <v>10634</v>
      </c>
      <c r="E27" s="30">
        <f t="shared" si="18"/>
        <v>10634</v>
      </c>
      <c r="F27" s="29">
        <v>0</v>
      </c>
      <c r="G27" s="29">
        <v>0</v>
      </c>
      <c r="H27" s="29">
        <v>11262</v>
      </c>
      <c r="I27" s="30">
        <f>+F27+G27+H27</f>
        <v>11262</v>
      </c>
      <c r="J27" s="87">
        <f t="shared" si="10"/>
        <v>0</v>
      </c>
      <c r="K27" s="33">
        <f t="shared" si="11"/>
        <v>0</v>
      </c>
      <c r="L27" s="33">
        <f t="shared" si="12"/>
        <v>0.05905585856686101</v>
      </c>
      <c r="M27" s="34">
        <f t="shared" si="13"/>
        <v>0.05905585856686101</v>
      </c>
      <c r="N27" s="33">
        <f t="shared" si="14"/>
        <v>0</v>
      </c>
      <c r="O27" s="33">
        <f t="shared" si="15"/>
        <v>0</v>
      </c>
      <c r="P27" s="33">
        <f t="shared" si="16"/>
        <v>0.35577116092338573</v>
      </c>
      <c r="Q27" s="34">
        <f t="shared" si="17"/>
        <v>0.014215950365826107</v>
      </c>
      <c r="R27" s="33">
        <f t="shared" si="6"/>
        <v>0</v>
      </c>
      <c r="S27" s="33">
        <f t="shared" si="7"/>
        <v>0</v>
      </c>
      <c r="T27" s="33">
        <f t="shared" si="8"/>
        <v>0.39052638879256535</v>
      </c>
      <c r="U27" s="35">
        <f t="shared" si="9"/>
        <v>0.011937482444099362</v>
      </c>
    </row>
    <row r="28" spans="1:21" ht="15.75" customHeight="1">
      <c r="A28" s="28" t="s">
        <v>42</v>
      </c>
      <c r="B28" s="29">
        <v>126599</v>
      </c>
      <c r="C28" s="29">
        <v>222</v>
      </c>
      <c r="D28" s="29">
        <v>0</v>
      </c>
      <c r="E28" s="30">
        <f t="shared" si="18"/>
        <v>126821</v>
      </c>
      <c r="F28" s="29">
        <v>143791</v>
      </c>
      <c r="G28" s="29">
        <v>5942</v>
      </c>
      <c r="H28" s="29">
        <v>0</v>
      </c>
      <c r="I28" s="30">
        <f t="shared" si="1"/>
        <v>149733</v>
      </c>
      <c r="J28" s="87">
        <f t="shared" si="10"/>
        <v>0.1357988609704658</v>
      </c>
      <c r="K28" s="33">
        <f t="shared" si="11"/>
        <v>25.765765765765767</v>
      </c>
      <c r="L28" s="33">
        <f t="shared" si="12"/>
        <v>0</v>
      </c>
      <c r="M28" s="34">
        <f t="shared" si="13"/>
        <v>0.18066408560096514</v>
      </c>
      <c r="N28" s="33">
        <f t="shared" si="14"/>
        <v>0.18533418242239252</v>
      </c>
      <c r="O28" s="33">
        <f t="shared" si="15"/>
        <v>0.006332363511894575</v>
      </c>
      <c r="P28" s="33">
        <f t="shared" si="16"/>
        <v>0</v>
      </c>
      <c r="Q28" s="34">
        <f t="shared" si="17"/>
        <v>0.16953931176833106</v>
      </c>
      <c r="R28" s="33">
        <f t="shared" si="6"/>
        <v>0.2185967883415857</v>
      </c>
      <c r="S28" s="33">
        <f t="shared" si="7"/>
        <v>0.023139890804015795</v>
      </c>
      <c r="T28" s="33">
        <f t="shared" si="8"/>
        <v>0</v>
      </c>
      <c r="U28" s="35">
        <f t="shared" si="9"/>
        <v>0.15871382159495026</v>
      </c>
    </row>
    <row r="29" spans="1:21" ht="15.75" customHeight="1">
      <c r="A29" s="28" t="s">
        <v>14</v>
      </c>
      <c r="B29" s="29">
        <v>144104</v>
      </c>
      <c r="C29" s="29">
        <v>0</v>
      </c>
      <c r="D29" s="29">
        <v>0</v>
      </c>
      <c r="E29" s="30">
        <f t="shared" si="18"/>
        <v>144104</v>
      </c>
      <c r="F29" s="29">
        <v>139703</v>
      </c>
      <c r="G29" s="29">
        <v>0</v>
      </c>
      <c r="H29" s="29">
        <v>0</v>
      </c>
      <c r="I29" s="30">
        <f>+F29+G29+H29</f>
        <v>139703</v>
      </c>
      <c r="J29" s="87">
        <f t="shared" si="10"/>
        <v>-0.030540443013379225</v>
      </c>
      <c r="K29" s="33">
        <f t="shared" si="11"/>
        <v>0</v>
      </c>
      <c r="L29" s="33">
        <f t="shared" si="12"/>
        <v>0</v>
      </c>
      <c r="M29" s="34">
        <f t="shared" si="13"/>
        <v>-0.030540443013379225</v>
      </c>
      <c r="N29" s="33">
        <f t="shared" si="14"/>
        <v>0.21096056859688034</v>
      </c>
      <c r="O29" s="33">
        <f t="shared" si="15"/>
        <v>0</v>
      </c>
      <c r="P29" s="33">
        <f t="shared" si="16"/>
        <v>0</v>
      </c>
      <c r="Q29" s="34">
        <f t="shared" si="17"/>
        <v>0.19264390742119666</v>
      </c>
      <c r="R29" s="33">
        <f t="shared" si="6"/>
        <v>0.21238204840139194</v>
      </c>
      <c r="S29" s="33">
        <f t="shared" si="7"/>
        <v>0</v>
      </c>
      <c r="T29" s="33">
        <f t="shared" si="8"/>
        <v>0</v>
      </c>
      <c r="U29" s="35">
        <f t="shared" si="9"/>
        <v>0.14808223316356003</v>
      </c>
    </row>
    <row r="30" spans="1:21" ht="15.75" customHeight="1">
      <c r="A30" s="28" t="s">
        <v>51</v>
      </c>
      <c r="B30" s="29">
        <v>7142</v>
      </c>
      <c r="C30" s="29">
        <v>7790</v>
      </c>
      <c r="D30" s="29">
        <v>0</v>
      </c>
      <c r="E30" s="30">
        <f>+B30+C30+D30</f>
        <v>14932</v>
      </c>
      <c r="F30" s="29">
        <v>7983</v>
      </c>
      <c r="G30" s="29">
        <v>7412</v>
      </c>
      <c r="H30" s="29">
        <v>0</v>
      </c>
      <c r="I30" s="30">
        <f>+F30+G30+H30</f>
        <v>15395</v>
      </c>
      <c r="J30" s="87">
        <f t="shared" si="10"/>
        <v>0.11775413049565948</v>
      </c>
      <c r="K30" s="33">
        <f t="shared" si="11"/>
        <v>-0.048523748395378694</v>
      </c>
      <c r="L30" s="33">
        <f t="shared" si="12"/>
        <v>0</v>
      </c>
      <c r="M30" s="34">
        <f t="shared" si="13"/>
        <v>0.031007232788641842</v>
      </c>
      <c r="N30" s="33">
        <f t="shared" si="14"/>
        <v>0.010455507001324872</v>
      </c>
      <c r="O30" s="33">
        <f t="shared" si="15"/>
        <v>0.2222032061155799</v>
      </c>
      <c r="P30" s="33">
        <f t="shared" si="16"/>
        <v>0</v>
      </c>
      <c r="Q30" s="34">
        <f t="shared" si="17"/>
        <v>0.019961686182294096</v>
      </c>
      <c r="R30" s="33">
        <f t="shared" si="6"/>
        <v>0.012136073616087784</v>
      </c>
      <c r="S30" s="33">
        <f t="shared" si="7"/>
        <v>0.02886450195882953</v>
      </c>
      <c r="T30" s="33">
        <f t="shared" si="8"/>
        <v>0</v>
      </c>
      <c r="U30" s="35">
        <f t="shared" si="9"/>
        <v>0.01631837526433224</v>
      </c>
    </row>
    <row r="31" spans="1:21" ht="15.75" customHeight="1" thickBot="1">
      <c r="A31" s="28" t="s">
        <v>54</v>
      </c>
      <c r="B31" s="29">
        <v>4081</v>
      </c>
      <c r="C31" s="29">
        <v>0</v>
      </c>
      <c r="D31" s="29">
        <v>0</v>
      </c>
      <c r="E31" s="30">
        <f t="shared" si="18"/>
        <v>4081</v>
      </c>
      <c r="F31" s="29">
        <v>11576</v>
      </c>
      <c r="G31" s="29">
        <v>364</v>
      </c>
      <c r="H31" s="29">
        <v>0</v>
      </c>
      <c r="I31" s="30">
        <f t="shared" si="1"/>
        <v>11940</v>
      </c>
      <c r="J31" s="87">
        <f t="shared" si="10"/>
        <v>1.836559666748346</v>
      </c>
      <c r="K31" s="33">
        <v>1</v>
      </c>
      <c r="L31" s="89">
        <f t="shared" si="12"/>
        <v>0</v>
      </c>
      <c r="M31" s="34">
        <f t="shared" si="13"/>
        <v>1.9257534917912276</v>
      </c>
      <c r="N31" s="33">
        <f t="shared" si="14"/>
        <v>0.005974366294092244</v>
      </c>
      <c r="O31" s="33">
        <f t="shared" si="15"/>
        <v>0</v>
      </c>
      <c r="P31" s="33">
        <f t="shared" si="16"/>
        <v>0</v>
      </c>
      <c r="Q31" s="34">
        <f t="shared" si="17"/>
        <v>0.005455641662867814</v>
      </c>
      <c r="R31" s="33">
        <f t="shared" si="6"/>
        <v>0.017598294899139697</v>
      </c>
      <c r="S31" s="33">
        <f t="shared" si="7"/>
        <v>0.0014175227621443538</v>
      </c>
      <c r="T31" s="33">
        <f t="shared" si="8"/>
        <v>0</v>
      </c>
      <c r="U31" s="35">
        <f t="shared" si="9"/>
        <v>0.01265614814265196</v>
      </c>
    </row>
    <row r="32" spans="1:21" ht="15.75" customHeight="1" thickBot="1">
      <c r="A32" s="64" t="s">
        <v>15</v>
      </c>
      <c r="B32" s="65">
        <f aca="true" t="shared" si="19" ref="B32:I32">SUM(B11:B31)</f>
        <v>683085</v>
      </c>
      <c r="C32" s="65">
        <f t="shared" si="19"/>
        <v>35058</v>
      </c>
      <c r="D32" s="65">
        <f t="shared" si="19"/>
        <v>29890</v>
      </c>
      <c r="E32" s="66">
        <f t="shared" si="19"/>
        <v>748033</v>
      </c>
      <c r="F32" s="65">
        <f t="shared" si="19"/>
        <v>657791</v>
      </c>
      <c r="G32" s="65">
        <f t="shared" si="19"/>
        <v>256786</v>
      </c>
      <c r="H32" s="65">
        <f t="shared" si="19"/>
        <v>28838</v>
      </c>
      <c r="I32" s="65">
        <f t="shared" si="19"/>
        <v>943415</v>
      </c>
      <c r="J32" s="93">
        <f>IF(+B32&gt;0,(+F32-B32)/B32,0)</f>
        <v>-0.03702906666081088</v>
      </c>
      <c r="K32" s="92">
        <f>IF(+C32&gt;0,(+G32-C32)/C32,0)</f>
        <v>6.324604940384505</v>
      </c>
      <c r="L32" s="92">
        <f>IF(+D32&gt;0,(+H32-D32)/D32,0)</f>
        <v>-0.03519571763131482</v>
      </c>
      <c r="M32" s="91">
        <f t="shared" si="13"/>
        <v>0.26119435907239386</v>
      </c>
      <c r="N32" s="67">
        <f aca="true" t="shared" si="20" ref="N32:U32">SUM(N11:N31)</f>
        <v>1</v>
      </c>
      <c r="O32" s="67">
        <f t="shared" si="20"/>
        <v>0.9999999999999999</v>
      </c>
      <c r="P32" s="67">
        <f t="shared" si="20"/>
        <v>1</v>
      </c>
      <c r="Q32" s="68">
        <f t="shared" si="20"/>
        <v>1</v>
      </c>
      <c r="R32" s="67">
        <f t="shared" si="20"/>
        <v>1</v>
      </c>
      <c r="S32" s="67">
        <f t="shared" si="20"/>
        <v>1</v>
      </c>
      <c r="T32" s="67">
        <f t="shared" si="20"/>
        <v>1</v>
      </c>
      <c r="U32" s="69">
        <f t="shared" si="20"/>
        <v>1</v>
      </c>
    </row>
    <row r="33" spans="1:7" ht="15.75" customHeight="1">
      <c r="A33" s="75"/>
      <c r="B33" s="84" t="s">
        <v>25</v>
      </c>
      <c r="G33" s="60" t="s">
        <v>25</v>
      </c>
    </row>
    <row r="34" spans="1:2" ht="15.75" customHeight="1">
      <c r="A34" s="75" t="s">
        <v>25</v>
      </c>
      <c r="B34" s="60" t="s">
        <v>25</v>
      </c>
    </row>
    <row r="35" spans="1:21" ht="15.75" customHeight="1">
      <c r="A35" s="24" t="s">
        <v>75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6:21" ht="15.75" customHeight="1">
      <c r="P36" s="75"/>
      <c r="Q36" s="75"/>
      <c r="R36" s="75"/>
      <c r="S36" s="75"/>
      <c r="T36" s="75"/>
      <c r="U36" s="75"/>
    </row>
    <row r="37" spans="1:21" ht="15.75" customHeight="1">
      <c r="A37" s="75" t="str">
        <f>+A2</f>
        <v>Date:</v>
      </c>
      <c r="B37" s="77">
        <f>+B2</f>
        <v>39912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1" ht="15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ht="15.75" customHeight="1">
      <c r="A39" s="75"/>
      <c r="B39" s="75"/>
      <c r="C39" s="24" t="s">
        <v>68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21" ht="15.75" customHeight="1" thickBo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1:21" ht="15.75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0"/>
    </row>
    <row r="42" spans="1:21" ht="15.75" customHeight="1">
      <c r="A42" s="41"/>
      <c r="B42" s="42"/>
      <c r="C42" s="42"/>
      <c r="D42" s="42" t="s">
        <v>26</v>
      </c>
      <c r="E42" s="42"/>
      <c r="F42" s="42"/>
      <c r="G42" s="42"/>
      <c r="H42" s="42"/>
      <c r="I42" s="42"/>
      <c r="J42" s="108" t="s">
        <v>62</v>
      </c>
      <c r="K42" s="109"/>
      <c r="L42" s="109"/>
      <c r="M42" s="110"/>
      <c r="N42" s="42"/>
      <c r="O42" s="42"/>
      <c r="P42" s="42" t="s">
        <v>31</v>
      </c>
      <c r="Q42" s="42"/>
      <c r="R42" s="42"/>
      <c r="S42" s="42"/>
      <c r="T42" s="42"/>
      <c r="U42" s="44"/>
    </row>
    <row r="43" spans="1:21" ht="15.75" customHeight="1">
      <c r="A43" s="45"/>
      <c r="B43" s="42"/>
      <c r="C43" s="42">
        <f>+C8</f>
        <v>2007</v>
      </c>
      <c r="D43" s="42"/>
      <c r="E43" s="46"/>
      <c r="F43" s="42"/>
      <c r="G43" s="42">
        <f>+G8</f>
        <v>2008</v>
      </c>
      <c r="H43" s="42"/>
      <c r="I43" s="42"/>
      <c r="J43" s="85"/>
      <c r="K43" s="42"/>
      <c r="L43" s="42"/>
      <c r="M43" s="86" t="s">
        <v>25</v>
      </c>
      <c r="N43" s="42"/>
      <c r="O43" s="42">
        <f>+C43</f>
        <v>2007</v>
      </c>
      <c r="P43" s="42"/>
      <c r="Q43" s="46"/>
      <c r="R43" s="42"/>
      <c r="S43" s="42">
        <f>+G43</f>
        <v>2008</v>
      </c>
      <c r="T43" s="42"/>
      <c r="U43" s="44"/>
    </row>
    <row r="44" spans="1:21" ht="15.75" customHeight="1" thickBot="1">
      <c r="A44" s="48" t="s">
        <v>2</v>
      </c>
      <c r="B44" s="51" t="s">
        <v>3</v>
      </c>
      <c r="C44" s="51" t="s">
        <v>4</v>
      </c>
      <c r="D44" s="51" t="s">
        <v>5</v>
      </c>
      <c r="E44" s="52" t="s">
        <v>6</v>
      </c>
      <c r="F44" s="51" t="s">
        <v>3</v>
      </c>
      <c r="G44" s="51" t="s">
        <v>4</v>
      </c>
      <c r="H44" s="51" t="s">
        <v>5</v>
      </c>
      <c r="I44" s="52" t="s">
        <v>6</v>
      </c>
      <c r="J44" s="51" t="s">
        <v>3</v>
      </c>
      <c r="K44" s="51" t="s">
        <v>4</v>
      </c>
      <c r="L44" s="51" t="s">
        <v>5</v>
      </c>
      <c r="M44" s="52" t="s">
        <v>6</v>
      </c>
      <c r="N44" s="51" t="s">
        <v>3</v>
      </c>
      <c r="O44" s="51" t="s">
        <v>4</v>
      </c>
      <c r="P44" s="51" t="s">
        <v>5</v>
      </c>
      <c r="Q44" s="52" t="s">
        <v>6</v>
      </c>
      <c r="R44" s="51" t="s">
        <v>3</v>
      </c>
      <c r="S44" s="51" t="s">
        <v>4</v>
      </c>
      <c r="T44" s="51" t="s">
        <v>5</v>
      </c>
      <c r="U44" s="54" t="s">
        <v>6</v>
      </c>
    </row>
    <row r="45" spans="1:21" ht="15.75" customHeight="1" thickTop="1">
      <c r="A45" s="28"/>
      <c r="B45" s="61"/>
      <c r="C45" s="61"/>
      <c r="D45" s="61"/>
      <c r="E45" s="62"/>
      <c r="F45" s="61"/>
      <c r="G45" s="61"/>
      <c r="H45" s="61"/>
      <c r="I45" s="62"/>
      <c r="J45" s="61"/>
      <c r="K45" s="88"/>
      <c r="L45" s="88"/>
      <c r="M45" s="62"/>
      <c r="N45" s="61"/>
      <c r="O45" s="61"/>
      <c r="P45" s="61"/>
      <c r="Q45" s="62"/>
      <c r="R45" s="61"/>
      <c r="S45" s="61"/>
      <c r="T45" s="61"/>
      <c r="U45" s="63"/>
    </row>
    <row r="46" spans="1:21" ht="15.75" customHeight="1">
      <c r="A46" s="28" t="str">
        <f aca="true" t="shared" si="21" ref="A46:A59">+A11</f>
        <v>Ace Tempest</v>
      </c>
      <c r="B46" s="29">
        <v>12093</v>
      </c>
      <c r="C46" s="29">
        <v>0</v>
      </c>
      <c r="D46" s="29">
        <v>0</v>
      </c>
      <c r="E46" s="30">
        <f aca="true" t="shared" si="22" ref="E46:E52">+B46+C46+D46</f>
        <v>12093</v>
      </c>
      <c r="F46" s="29">
        <v>19240</v>
      </c>
      <c r="G46" s="29">
        <v>0</v>
      </c>
      <c r="H46" s="29">
        <v>0</v>
      </c>
      <c r="I46" s="30">
        <f>+F46+G46+H46</f>
        <v>19240</v>
      </c>
      <c r="J46" s="87">
        <f>IF(+B46&gt;0,(+F46-B46)/B46,0)</f>
        <v>0.5910030596212685</v>
      </c>
      <c r="K46" s="33">
        <f>IF(+C46&gt;0,(+G46-C46)/C46,0)</f>
        <v>0</v>
      </c>
      <c r="L46" s="33">
        <f>IF(+D46&gt;0,(+H46-D46)/D46,0)</f>
        <v>0</v>
      </c>
      <c r="M46" s="34">
        <f>IF(+E46&gt;0,(+I46-E46)/E46,0)</f>
        <v>0.5910030596212685</v>
      </c>
      <c r="N46" s="33">
        <f aca="true" t="shared" si="23" ref="N46:N53">+B46/$B$67</f>
        <v>0.0019057533801001714</v>
      </c>
      <c r="O46" s="33">
        <f aca="true" t="shared" si="24" ref="O46:O53">+C46/$C$67</f>
        <v>0</v>
      </c>
      <c r="P46" s="33">
        <f aca="true" t="shared" si="25" ref="P46:P53">+D46/$D$67</f>
        <v>0</v>
      </c>
      <c r="Q46" s="34">
        <f aca="true" t="shared" si="26" ref="Q46:Q53">+E46/$E$67</f>
        <v>0.001658206517945941</v>
      </c>
      <c r="R46" s="33">
        <f aca="true" t="shared" si="27" ref="R46:R66">+F46/$F$67</f>
        <v>0.002968556292637317</v>
      </c>
      <c r="S46" s="33">
        <f aca="true" t="shared" si="28" ref="S46:S66">+G46/$G$67</f>
        <v>0</v>
      </c>
      <c r="T46" s="33">
        <f aca="true" t="shared" si="29" ref="T46:T66">+H46/$H$67</f>
        <v>0</v>
      </c>
      <c r="U46" s="35">
        <f aca="true" t="shared" si="30" ref="U46:U66">+I46/$I$67</f>
        <v>0.00251981934833595</v>
      </c>
    </row>
    <row r="47" spans="1:21" ht="15.75" customHeight="1">
      <c r="A47" s="28" t="str">
        <f t="shared" si="21"/>
        <v>AXA Equitable</v>
      </c>
      <c r="B47" s="29">
        <v>0</v>
      </c>
      <c r="C47" s="29">
        <v>0</v>
      </c>
      <c r="D47" s="29">
        <v>37280</v>
      </c>
      <c r="E47" s="30">
        <f t="shared" si="22"/>
        <v>37280</v>
      </c>
      <c r="F47" s="29">
        <v>0</v>
      </c>
      <c r="G47" s="29">
        <v>0</v>
      </c>
      <c r="H47" s="29">
        <v>36182</v>
      </c>
      <c r="I47" s="30">
        <f aca="true" t="shared" si="31" ref="I47:I66">+F47+G47+H47</f>
        <v>36182</v>
      </c>
      <c r="J47" s="87">
        <f aca="true" t="shared" si="32" ref="J47:J66">IF(+B47&gt;0,(+F47-B47)/B47,0)</f>
        <v>0</v>
      </c>
      <c r="K47" s="33">
        <f aca="true" t="shared" si="33" ref="K47:K66">IF(+C47&gt;0,(+G47-C47)/C47,0)</f>
        <v>0</v>
      </c>
      <c r="L47" s="33">
        <f aca="true" t="shared" si="34" ref="L47:L66">IF(+D47&gt;0,(+H47-D47)/D47,0)</f>
        <v>-0.029452789699570815</v>
      </c>
      <c r="M47" s="34">
        <f aca="true" t="shared" si="35" ref="M47:M66">IF(+E47&gt;0,(+I47-E47)/E47,0)</f>
        <v>-0.029452789699570815</v>
      </c>
      <c r="N47" s="33">
        <f t="shared" si="23"/>
        <v>0</v>
      </c>
      <c r="O47" s="33">
        <f t="shared" si="24"/>
        <v>0</v>
      </c>
      <c r="P47" s="33">
        <f t="shared" si="25"/>
        <v>0.15357110490455358</v>
      </c>
      <c r="Q47" s="34">
        <f t="shared" si="26"/>
        <v>0.005111877862319084</v>
      </c>
      <c r="R47" s="33">
        <f t="shared" si="27"/>
        <v>0</v>
      </c>
      <c r="S47" s="33">
        <f t="shared" si="28"/>
        <v>0</v>
      </c>
      <c r="T47" s="33">
        <f t="shared" si="29"/>
        <v>0.14817757392087805</v>
      </c>
      <c r="U47" s="35">
        <f t="shared" si="30"/>
        <v>0.0047386748264808395</v>
      </c>
    </row>
    <row r="48" spans="1:21" ht="15.75" customHeight="1">
      <c r="A48" s="28" t="str">
        <f t="shared" si="21"/>
        <v>Canada Life </v>
      </c>
      <c r="B48" s="29">
        <v>189662</v>
      </c>
      <c r="C48" s="29">
        <v>3103</v>
      </c>
      <c r="D48" s="29">
        <v>0</v>
      </c>
      <c r="E48" s="30">
        <f t="shared" si="22"/>
        <v>192765</v>
      </c>
      <c r="F48" s="29">
        <v>193569</v>
      </c>
      <c r="G48" s="29">
        <v>11058</v>
      </c>
      <c r="H48" s="29">
        <v>0</v>
      </c>
      <c r="I48" s="30">
        <f t="shared" si="31"/>
        <v>204627</v>
      </c>
      <c r="J48" s="87">
        <f t="shared" si="32"/>
        <v>0.020599803861606435</v>
      </c>
      <c r="K48" s="33">
        <f t="shared" si="33"/>
        <v>2.563648082500806</v>
      </c>
      <c r="L48" s="33">
        <f t="shared" si="34"/>
        <v>0</v>
      </c>
      <c r="M48" s="34">
        <f t="shared" si="35"/>
        <v>0.061536067232122016</v>
      </c>
      <c r="N48" s="33">
        <f t="shared" si="23"/>
        <v>0.029889109201733127</v>
      </c>
      <c r="O48" s="33">
        <f t="shared" si="24"/>
        <v>0.004404273408436391</v>
      </c>
      <c r="P48" s="33">
        <f t="shared" si="25"/>
        <v>0</v>
      </c>
      <c r="Q48" s="34">
        <f t="shared" si="26"/>
        <v>0.02643216566872152</v>
      </c>
      <c r="R48" s="33">
        <f t="shared" si="27"/>
        <v>0.029865928950598378</v>
      </c>
      <c r="S48" s="33">
        <f t="shared" si="28"/>
        <v>0.012151341229837048</v>
      </c>
      <c r="T48" s="33">
        <f t="shared" si="29"/>
        <v>0</v>
      </c>
      <c r="U48" s="35">
        <f t="shared" si="30"/>
        <v>0.026799536059872165</v>
      </c>
    </row>
    <row r="49" spans="1:21" ht="15.75" customHeight="1">
      <c r="A49" s="28" t="str">
        <f t="shared" si="21"/>
        <v>Employers Re. Corp. </v>
      </c>
      <c r="B49" s="29">
        <v>316386</v>
      </c>
      <c r="C49" s="29">
        <v>18464</v>
      </c>
      <c r="D49" s="29">
        <v>55</v>
      </c>
      <c r="E49" s="30">
        <f t="shared" si="22"/>
        <v>334905</v>
      </c>
      <c r="F49" s="29">
        <v>290399</v>
      </c>
      <c r="G49" s="29">
        <v>17782</v>
      </c>
      <c r="H49" s="29">
        <v>55</v>
      </c>
      <c r="I49" s="30">
        <f t="shared" si="31"/>
        <v>308236</v>
      </c>
      <c r="J49" s="87">
        <f t="shared" si="32"/>
        <v>-0.08213700985505047</v>
      </c>
      <c r="K49" s="33">
        <f t="shared" si="33"/>
        <v>-0.0369367417677643</v>
      </c>
      <c r="L49" s="33">
        <f t="shared" si="34"/>
        <v>0</v>
      </c>
      <c r="M49" s="34">
        <f t="shared" si="35"/>
        <v>-0.07963153730162285</v>
      </c>
      <c r="N49" s="33">
        <f t="shared" si="23"/>
        <v>0.049859727852176704</v>
      </c>
      <c r="O49" s="33">
        <f t="shared" si="24"/>
        <v>0.02620705904394764</v>
      </c>
      <c r="P49" s="33">
        <f t="shared" si="25"/>
        <v>0.000226566812493306</v>
      </c>
      <c r="Q49" s="34">
        <f t="shared" si="26"/>
        <v>0.045922571230685966</v>
      </c>
      <c r="R49" s="33">
        <f t="shared" si="27"/>
        <v>0.0448059136603734</v>
      </c>
      <c r="S49" s="33">
        <f t="shared" si="28"/>
        <v>0.019540165468345305</v>
      </c>
      <c r="T49" s="33">
        <f t="shared" si="29"/>
        <v>0.00022524367270046686</v>
      </c>
      <c r="U49" s="35">
        <f t="shared" si="30"/>
        <v>0.04036897279904781</v>
      </c>
    </row>
    <row r="50" spans="1:21" ht="15.75" customHeight="1">
      <c r="A50" s="28" t="str">
        <f t="shared" si="21"/>
        <v>General Re Life</v>
      </c>
      <c r="B50" s="29">
        <v>142330</v>
      </c>
      <c r="C50" s="29">
        <v>8489</v>
      </c>
      <c r="D50" s="29">
        <v>0</v>
      </c>
      <c r="E50" s="30">
        <f t="shared" si="22"/>
        <v>150819</v>
      </c>
      <c r="F50" s="29">
        <v>148277</v>
      </c>
      <c r="G50" s="29">
        <v>7302</v>
      </c>
      <c r="H50" s="29">
        <v>0</v>
      </c>
      <c r="I50" s="30">
        <f t="shared" si="31"/>
        <v>155579</v>
      </c>
      <c r="J50" s="87">
        <f t="shared" si="32"/>
        <v>0.0417831799339563</v>
      </c>
      <c r="K50" s="33">
        <f t="shared" si="33"/>
        <v>-0.13982801272234657</v>
      </c>
      <c r="L50" s="33">
        <f t="shared" si="34"/>
        <v>0</v>
      </c>
      <c r="M50" s="34">
        <f t="shared" si="35"/>
        <v>0.03156101021754554</v>
      </c>
      <c r="N50" s="33">
        <f t="shared" si="23"/>
        <v>0.02242999078720395</v>
      </c>
      <c r="O50" s="33">
        <f t="shared" si="24"/>
        <v>0.012048945202776835</v>
      </c>
      <c r="P50" s="33">
        <f t="shared" si="25"/>
        <v>0</v>
      </c>
      <c r="Q50" s="34">
        <f t="shared" si="26"/>
        <v>0.020680480346488787</v>
      </c>
      <c r="R50" s="33">
        <f t="shared" si="27"/>
        <v>0.02287778697522783</v>
      </c>
      <c r="S50" s="33">
        <f t="shared" si="28"/>
        <v>0.00802397302046212</v>
      </c>
      <c r="T50" s="33">
        <f t="shared" si="29"/>
        <v>0</v>
      </c>
      <c r="U50" s="35">
        <f t="shared" si="30"/>
        <v>0.02037583026999786</v>
      </c>
    </row>
    <row r="51" spans="1:21" ht="15.75" customHeight="1">
      <c r="A51" s="28" t="str">
        <f t="shared" si="21"/>
        <v>Generali USA Life Re </v>
      </c>
      <c r="B51" s="29">
        <v>357686</v>
      </c>
      <c r="C51" s="29">
        <v>799</v>
      </c>
      <c r="D51" s="29">
        <v>0</v>
      </c>
      <c r="E51" s="30">
        <f t="shared" si="22"/>
        <v>358485</v>
      </c>
      <c r="F51" s="29">
        <v>408651</v>
      </c>
      <c r="G51" s="29">
        <v>732</v>
      </c>
      <c r="H51" s="29">
        <v>0</v>
      </c>
      <c r="I51" s="30">
        <f t="shared" si="31"/>
        <v>409383</v>
      </c>
      <c r="J51" s="87">
        <f t="shared" si="32"/>
        <v>0.14248530834307185</v>
      </c>
      <c r="K51" s="33">
        <f t="shared" si="33"/>
        <v>-0.08385481852315395</v>
      </c>
      <c r="L51" s="33">
        <f t="shared" si="34"/>
        <v>0</v>
      </c>
      <c r="M51" s="34">
        <f t="shared" si="35"/>
        <v>0.14198083601824343</v>
      </c>
      <c r="N51" s="33">
        <f t="shared" si="23"/>
        <v>0.05636825465265111</v>
      </c>
      <c r="O51" s="33">
        <f t="shared" si="24"/>
        <v>0.0011340684670772402</v>
      </c>
      <c r="P51" s="33">
        <f t="shared" si="25"/>
        <v>0</v>
      </c>
      <c r="Q51" s="34">
        <f t="shared" si="26"/>
        <v>0.04915588882707771</v>
      </c>
      <c r="R51" s="33">
        <f t="shared" si="27"/>
        <v>0.06305111733589044</v>
      </c>
      <c r="S51" s="33">
        <f t="shared" si="28"/>
        <v>0.0008043752740315355</v>
      </c>
      <c r="T51" s="33">
        <f t="shared" si="29"/>
        <v>0</v>
      </c>
      <c r="U51" s="35">
        <f t="shared" si="30"/>
        <v>0.05361596695841041</v>
      </c>
    </row>
    <row r="52" spans="1:21" ht="15.75" customHeight="1">
      <c r="A52" s="28" t="str">
        <f t="shared" si="21"/>
        <v>Guardian</v>
      </c>
      <c r="B52" s="29">
        <v>0</v>
      </c>
      <c r="C52" s="29">
        <v>508</v>
      </c>
      <c r="D52" s="29">
        <v>2569</v>
      </c>
      <c r="E52" s="30">
        <f t="shared" si="22"/>
        <v>3077</v>
      </c>
      <c r="F52" s="29">
        <v>0</v>
      </c>
      <c r="G52" s="29">
        <v>454</v>
      </c>
      <c r="H52" s="29">
        <v>2381</v>
      </c>
      <c r="I52" s="30">
        <f t="shared" si="31"/>
        <v>2835</v>
      </c>
      <c r="J52" s="87">
        <f t="shared" si="32"/>
        <v>0</v>
      </c>
      <c r="K52" s="33">
        <f t="shared" si="33"/>
        <v>-0.1062992125984252</v>
      </c>
      <c r="L52" s="33">
        <f t="shared" si="34"/>
        <v>-0.07318022576878162</v>
      </c>
      <c r="M52" s="34">
        <f t="shared" si="35"/>
        <v>-0.07864803379915503</v>
      </c>
      <c r="N52" s="33">
        <f t="shared" si="23"/>
        <v>0</v>
      </c>
      <c r="O52" s="33">
        <f t="shared" si="24"/>
        <v>0.0007210347700566183</v>
      </c>
      <c r="P52" s="33">
        <f t="shared" si="25"/>
        <v>0.010582729841732783</v>
      </c>
      <c r="Q52" s="34">
        <f t="shared" si="26"/>
        <v>0.000421921893303536</v>
      </c>
      <c r="R52" s="33">
        <f t="shared" si="27"/>
        <v>0</v>
      </c>
      <c r="S52" s="33">
        <f t="shared" si="28"/>
        <v>0.0004988884896315808</v>
      </c>
      <c r="T52" s="33">
        <f t="shared" si="29"/>
        <v>0.009751003358178393</v>
      </c>
      <c r="U52" s="35">
        <f t="shared" si="30"/>
        <v>0.0003712935474289199</v>
      </c>
    </row>
    <row r="53" spans="1:21" ht="15.75" customHeight="1">
      <c r="A53" s="28" t="str">
        <f t="shared" si="21"/>
        <v>Hannover Life Re</v>
      </c>
      <c r="B53" s="29">
        <v>54799</v>
      </c>
      <c r="C53" s="29">
        <v>74468</v>
      </c>
      <c r="D53" s="29">
        <v>855</v>
      </c>
      <c r="E53" s="30">
        <f>+B53+C53+D53</f>
        <v>130122</v>
      </c>
      <c r="F53" s="29">
        <v>66334</v>
      </c>
      <c r="G53" s="29">
        <v>289327</v>
      </c>
      <c r="H53" s="29">
        <v>679</v>
      </c>
      <c r="I53" s="30">
        <f t="shared" si="31"/>
        <v>356340</v>
      </c>
      <c r="J53" s="87">
        <f t="shared" si="32"/>
        <v>0.21049654190769904</v>
      </c>
      <c r="K53" s="33">
        <f t="shared" si="33"/>
        <v>2.8852527260031153</v>
      </c>
      <c r="L53" s="33">
        <f t="shared" si="34"/>
        <v>-0.20584795321637428</v>
      </c>
      <c r="M53" s="34">
        <f t="shared" si="35"/>
        <v>1.7385069396412598</v>
      </c>
      <c r="N53" s="33">
        <f t="shared" si="23"/>
        <v>0.00863585375639703</v>
      </c>
      <c r="O53" s="33">
        <f t="shared" si="24"/>
        <v>0.10569688436333907</v>
      </c>
      <c r="P53" s="33">
        <f t="shared" si="25"/>
        <v>0.003522084085123211</v>
      </c>
      <c r="Q53" s="34">
        <f t="shared" si="26"/>
        <v>0.017842483133065554</v>
      </c>
      <c r="R53" s="33">
        <f t="shared" si="27"/>
        <v>0.010234730411424312</v>
      </c>
      <c r="S53" s="33">
        <f t="shared" si="28"/>
        <v>0.3179337225542651</v>
      </c>
      <c r="T53" s="33">
        <f t="shared" si="29"/>
        <v>0.0027807355229748547</v>
      </c>
      <c r="U53" s="35">
        <f t="shared" si="30"/>
        <v>0.046669045040854076</v>
      </c>
    </row>
    <row r="54" spans="1:21" ht="15.75" customHeight="1">
      <c r="A54" s="28" t="str">
        <f t="shared" si="21"/>
        <v>Manufacturers Life</v>
      </c>
      <c r="B54" s="29">
        <v>0</v>
      </c>
      <c r="C54" s="29">
        <v>0</v>
      </c>
      <c r="D54" s="29">
        <v>104303</v>
      </c>
      <c r="E54" s="30">
        <f>+B54+C54+D54</f>
        <v>104303</v>
      </c>
      <c r="F54" s="29">
        <v>0</v>
      </c>
      <c r="G54" s="29">
        <v>0</v>
      </c>
      <c r="H54" s="29">
        <v>103985</v>
      </c>
      <c r="I54" s="30">
        <f t="shared" si="31"/>
        <v>103985</v>
      </c>
      <c r="J54" s="87">
        <f t="shared" si="32"/>
        <v>0</v>
      </c>
      <c r="K54" s="33">
        <f t="shared" si="33"/>
        <v>0</v>
      </c>
      <c r="L54" s="33">
        <f t="shared" si="34"/>
        <v>-0.0030488097178412894</v>
      </c>
      <c r="M54" s="34">
        <f t="shared" si="35"/>
        <v>-0.0030488097178412894</v>
      </c>
      <c r="N54" s="33">
        <f aca="true" t="shared" si="36" ref="N54:N66">+B54/$B$67</f>
        <v>0</v>
      </c>
      <c r="O54" s="33">
        <f aca="true" t="shared" si="37" ref="O54:O66">+C54/$C$67</f>
        <v>0</v>
      </c>
      <c r="P54" s="33">
        <f aca="true" t="shared" si="38" ref="P54:P66">+D54/$D$67</f>
        <v>0.42966542260889623</v>
      </c>
      <c r="Q54" s="34">
        <f aca="true" t="shared" si="39" ref="Q54:Q66">+E54/$E$67</f>
        <v>0.014302151198322625</v>
      </c>
      <c r="R54" s="33">
        <f t="shared" si="27"/>
        <v>0</v>
      </c>
      <c r="S54" s="33">
        <f t="shared" si="28"/>
        <v>0</v>
      </c>
      <c r="T54" s="33">
        <f t="shared" si="29"/>
        <v>0.42585387828650995</v>
      </c>
      <c r="U54" s="35">
        <f t="shared" si="30"/>
        <v>0.013618680610016308</v>
      </c>
    </row>
    <row r="55" spans="1:21" ht="15.75" customHeight="1">
      <c r="A55" s="28" t="str">
        <f t="shared" si="21"/>
        <v>Munich American Re</v>
      </c>
      <c r="B55" s="29">
        <v>660977</v>
      </c>
      <c r="C55" s="29">
        <v>30401</v>
      </c>
      <c r="D55" s="29">
        <v>15959</v>
      </c>
      <c r="E55" s="30">
        <f>+B55+C55+D55</f>
        <v>707337</v>
      </c>
      <c r="F55" s="29">
        <v>664991</v>
      </c>
      <c r="G55" s="29">
        <v>38943</v>
      </c>
      <c r="H55" s="29">
        <v>15189</v>
      </c>
      <c r="I55" s="30">
        <f t="shared" si="31"/>
        <v>719123</v>
      </c>
      <c r="J55" s="87">
        <f t="shared" si="32"/>
        <v>0.006072828555305253</v>
      </c>
      <c r="K55" s="33">
        <f t="shared" si="33"/>
        <v>0.2809775994210717</v>
      </c>
      <c r="L55" s="33">
        <f t="shared" si="34"/>
        <v>-0.04824863713265242</v>
      </c>
      <c r="M55" s="34">
        <f t="shared" si="35"/>
        <v>0.01666249609450658</v>
      </c>
      <c r="N55" s="33">
        <f t="shared" si="36"/>
        <v>0.10416432249387836</v>
      </c>
      <c r="O55" s="33">
        <f t="shared" si="37"/>
        <v>0.04314995678049459</v>
      </c>
      <c r="P55" s="33">
        <f t="shared" si="38"/>
        <v>0.06574145019237582</v>
      </c>
      <c r="Q55" s="34">
        <f t="shared" si="39"/>
        <v>0.09699088925695262</v>
      </c>
      <c r="R55" s="33">
        <f t="shared" si="27"/>
        <v>0.10260203833665188</v>
      </c>
      <c r="S55" s="33">
        <f t="shared" si="28"/>
        <v>0.042793423902472795</v>
      </c>
      <c r="T55" s="33">
        <f t="shared" si="29"/>
        <v>0.06220411172086166</v>
      </c>
      <c r="U55" s="35">
        <f t="shared" si="30"/>
        <v>0.09418191524082087</v>
      </c>
    </row>
    <row r="56" spans="1:21" ht="15.75" customHeight="1">
      <c r="A56" s="28" t="str">
        <f t="shared" si="21"/>
        <v>Optimum Re (US)</v>
      </c>
      <c r="B56" s="29">
        <v>20126</v>
      </c>
      <c r="C56" s="29">
        <v>4326</v>
      </c>
      <c r="D56" s="29">
        <v>89</v>
      </c>
      <c r="E56" s="30">
        <f>+B56+C56+D56</f>
        <v>24541</v>
      </c>
      <c r="F56" s="29">
        <v>24560</v>
      </c>
      <c r="G56" s="29">
        <v>4482</v>
      </c>
      <c r="H56" s="29">
        <v>0</v>
      </c>
      <c r="I56" s="30">
        <f t="shared" si="31"/>
        <v>29042</v>
      </c>
      <c r="J56" s="87">
        <f t="shared" si="32"/>
        <v>0.2203120341846368</v>
      </c>
      <c r="K56" s="33">
        <f t="shared" si="33"/>
        <v>0.036061026352288486</v>
      </c>
      <c r="L56" s="33">
        <f t="shared" si="34"/>
        <v>-1</v>
      </c>
      <c r="M56" s="34">
        <f t="shared" si="35"/>
        <v>0.18340735911332057</v>
      </c>
      <c r="N56" s="33">
        <f t="shared" si="36"/>
        <v>0.0031716854815096378</v>
      </c>
      <c r="O56" s="33">
        <f t="shared" si="37"/>
        <v>0.006140150423749864</v>
      </c>
      <c r="P56" s="33">
        <f t="shared" si="38"/>
        <v>0.00036662629658007695</v>
      </c>
      <c r="Q56" s="34">
        <f t="shared" si="39"/>
        <v>0.0033650910573812406</v>
      </c>
      <c r="R56" s="33">
        <f t="shared" si="27"/>
        <v>0.003789383708272999</v>
      </c>
      <c r="S56" s="33">
        <f t="shared" si="28"/>
        <v>0.004925150243455385</v>
      </c>
      <c r="T56" s="33">
        <f t="shared" si="29"/>
        <v>0</v>
      </c>
      <c r="U56" s="35">
        <f t="shared" si="30"/>
        <v>0.0038035651514746706</v>
      </c>
    </row>
    <row r="57" spans="1:21" ht="15.75" customHeight="1">
      <c r="A57" s="28" t="str">
        <f t="shared" si="21"/>
        <v>Pacific Life</v>
      </c>
      <c r="B57" s="29">
        <v>0</v>
      </c>
      <c r="C57" s="29">
        <v>0</v>
      </c>
      <c r="D57" s="29">
        <v>2856</v>
      </c>
      <c r="E57" s="30">
        <f>+B57+C57+D57</f>
        <v>2856</v>
      </c>
      <c r="F57" s="29">
        <v>0</v>
      </c>
      <c r="G57" s="29">
        <v>0</v>
      </c>
      <c r="H57" s="29">
        <v>3311</v>
      </c>
      <c r="I57" s="30">
        <f t="shared" si="31"/>
        <v>3311</v>
      </c>
      <c r="J57" s="87">
        <f t="shared" si="32"/>
        <v>0</v>
      </c>
      <c r="K57" s="33">
        <f t="shared" si="33"/>
        <v>0</v>
      </c>
      <c r="L57" s="33">
        <f t="shared" si="34"/>
        <v>0.15931372549019607</v>
      </c>
      <c r="M57" s="34">
        <f t="shared" si="35"/>
        <v>0.15931372549019607</v>
      </c>
      <c r="N57" s="33">
        <f t="shared" si="36"/>
        <v>0</v>
      </c>
      <c r="O57" s="33">
        <f t="shared" si="37"/>
        <v>0</v>
      </c>
      <c r="P57" s="33">
        <f t="shared" si="38"/>
        <v>0.011764996663288762</v>
      </c>
      <c r="Q57" s="34">
        <f t="shared" si="39"/>
        <v>0.0003916181109115693</v>
      </c>
      <c r="R57" s="33">
        <f t="shared" si="27"/>
        <v>0</v>
      </c>
      <c r="S57" s="33">
        <f t="shared" si="28"/>
        <v>0</v>
      </c>
      <c r="T57" s="33">
        <f t="shared" si="29"/>
        <v>0.013559669096568106</v>
      </c>
      <c r="U57" s="35">
        <f t="shared" si="30"/>
        <v>0.0004336341924293311</v>
      </c>
    </row>
    <row r="58" spans="1:21" ht="15.75" customHeight="1">
      <c r="A58" s="28" t="str">
        <f t="shared" si="21"/>
        <v>RGA Re. Company</v>
      </c>
      <c r="B58" s="29">
        <v>1115162</v>
      </c>
      <c r="C58" s="29">
        <v>93109</v>
      </c>
      <c r="D58" s="29">
        <v>0</v>
      </c>
      <c r="E58" s="30">
        <f aca="true" t="shared" si="40" ref="E58:E66">+B58+C58+D58</f>
        <v>1208271</v>
      </c>
      <c r="F58" s="29">
        <v>1160083</v>
      </c>
      <c r="G58" s="29">
        <v>95353</v>
      </c>
      <c r="H58" s="29">
        <v>0</v>
      </c>
      <c r="I58" s="30">
        <f t="shared" si="31"/>
        <v>1255436</v>
      </c>
      <c r="J58" s="87">
        <f t="shared" si="32"/>
        <v>0.04028203973951767</v>
      </c>
      <c r="K58" s="33">
        <f t="shared" si="33"/>
        <v>0.024100785101332848</v>
      </c>
      <c r="L58" s="33">
        <f t="shared" si="34"/>
        <v>0</v>
      </c>
      <c r="M58" s="34">
        <f t="shared" si="35"/>
        <v>0.039035117121903946</v>
      </c>
      <c r="N58" s="33">
        <f t="shared" si="36"/>
        <v>0.17573999428258227</v>
      </c>
      <c r="O58" s="33">
        <f t="shared" si="37"/>
        <v>0.13215517008897967</v>
      </c>
      <c r="P58" s="33">
        <f t="shared" si="38"/>
        <v>0</v>
      </c>
      <c r="Q58" s="34">
        <f t="shared" si="39"/>
        <v>0.1656795540928686</v>
      </c>
      <c r="R58" s="33">
        <f t="shared" si="27"/>
        <v>0.17899021255881375</v>
      </c>
      <c r="S58" s="33">
        <f t="shared" si="28"/>
        <v>0.10478086817585928</v>
      </c>
      <c r="T58" s="33">
        <f t="shared" si="29"/>
        <v>0</v>
      </c>
      <c r="U58" s="35">
        <f t="shared" si="30"/>
        <v>0.16442161764020227</v>
      </c>
    </row>
    <row r="59" spans="1:21" ht="15.75" customHeight="1">
      <c r="A59" s="28" t="str">
        <f t="shared" si="21"/>
        <v>RGA Re (Canada)</v>
      </c>
      <c r="B59" s="29">
        <v>396</v>
      </c>
      <c r="C59" s="29">
        <v>0</v>
      </c>
      <c r="D59" s="29">
        <v>0</v>
      </c>
      <c r="E59" s="30">
        <f>+B59+C59+D59</f>
        <v>396</v>
      </c>
      <c r="F59" s="29">
        <v>543</v>
      </c>
      <c r="G59" s="29">
        <v>0</v>
      </c>
      <c r="H59" s="29">
        <v>0</v>
      </c>
      <c r="I59" s="30">
        <f>+F59+G59+H59</f>
        <v>543</v>
      </c>
      <c r="J59" s="87">
        <f>IF(+B59&gt;0,(+F59-B59)/B59,0)</f>
        <v>0.3712121212121212</v>
      </c>
      <c r="K59" s="33">
        <f>IF(+C59&gt;0,(+G59-C59)/C59,0)</f>
        <v>0</v>
      </c>
      <c r="L59" s="33">
        <f>IF(+D59&gt;0,(+H59-D59)/D59,0)</f>
        <v>0</v>
      </c>
      <c r="M59" s="34">
        <f>IF(+E59&gt;0,(+I59-E59)/E59,0)</f>
        <v>0.3712121212121212</v>
      </c>
      <c r="N59" s="33">
        <f t="shared" si="36"/>
        <v>6.240621338953675E-05</v>
      </c>
      <c r="O59" s="33">
        <f t="shared" si="37"/>
        <v>0</v>
      </c>
      <c r="P59" s="33">
        <f t="shared" si="38"/>
        <v>0</v>
      </c>
      <c r="Q59" s="34">
        <f t="shared" si="39"/>
        <v>5.429999016841087E-05</v>
      </c>
      <c r="R59" s="33">
        <f t="shared" si="27"/>
        <v>8.377994110717583E-05</v>
      </c>
      <c r="S59" s="33">
        <f t="shared" si="28"/>
        <v>0</v>
      </c>
      <c r="T59" s="33">
        <f t="shared" si="29"/>
        <v>0</v>
      </c>
      <c r="U59" s="35">
        <f t="shared" si="30"/>
        <v>7.111548368744391E-05</v>
      </c>
    </row>
    <row r="60" spans="1:21" ht="15.75" customHeight="1">
      <c r="A60" s="28" t="str">
        <f aca="true" t="shared" si="41" ref="A60:A65">+A25</f>
        <v>SCOR Global Life (US)</v>
      </c>
      <c r="B60" s="29">
        <v>271652</v>
      </c>
      <c r="C60" s="29">
        <v>3106</v>
      </c>
      <c r="D60" s="29">
        <v>0</v>
      </c>
      <c r="E60" s="30">
        <f t="shared" si="40"/>
        <v>274758</v>
      </c>
      <c r="F60" s="29">
        <v>271695</v>
      </c>
      <c r="G60" s="29">
        <v>0</v>
      </c>
      <c r="H60" s="29">
        <v>0</v>
      </c>
      <c r="I60" s="30">
        <f t="shared" si="31"/>
        <v>271695</v>
      </c>
      <c r="J60" s="87">
        <f t="shared" si="32"/>
        <v>0.00015829075434747398</v>
      </c>
      <c r="K60" s="33">
        <f t="shared" si="33"/>
        <v>-1</v>
      </c>
      <c r="L60" s="33">
        <f t="shared" si="34"/>
        <v>0</v>
      </c>
      <c r="M60" s="34">
        <f t="shared" si="35"/>
        <v>-0.011147992051186863</v>
      </c>
      <c r="N60" s="33">
        <f t="shared" si="36"/>
        <v>0.04281003201943039</v>
      </c>
      <c r="O60" s="33">
        <f t="shared" si="37"/>
        <v>0.004408531487787119</v>
      </c>
      <c r="P60" s="33">
        <f t="shared" si="38"/>
        <v>0</v>
      </c>
      <c r="Q60" s="34">
        <f t="shared" si="39"/>
        <v>0.037675143178515745</v>
      </c>
      <c r="R60" s="33">
        <f t="shared" si="27"/>
        <v>0.04192005727277005</v>
      </c>
      <c r="S60" s="33">
        <f t="shared" si="28"/>
        <v>0</v>
      </c>
      <c r="T60" s="33">
        <f t="shared" si="29"/>
        <v>0</v>
      </c>
      <c r="U60" s="35">
        <f t="shared" si="30"/>
        <v>0.03558328055333347</v>
      </c>
    </row>
    <row r="61" spans="1:21" ht="15.75" customHeight="1">
      <c r="A61" s="28" t="str">
        <f t="shared" si="41"/>
        <v>Scottish Re (US)</v>
      </c>
      <c r="B61" s="29">
        <v>968549</v>
      </c>
      <c r="C61" s="29">
        <v>1414</v>
      </c>
      <c r="D61" s="29">
        <v>0</v>
      </c>
      <c r="E61" s="30">
        <f t="shared" si="40"/>
        <v>969963</v>
      </c>
      <c r="F61" s="29">
        <v>901696</v>
      </c>
      <c r="G61" s="29">
        <v>1180</v>
      </c>
      <c r="H61" s="29">
        <v>2310</v>
      </c>
      <c r="I61" s="30">
        <f t="shared" si="31"/>
        <v>905186</v>
      </c>
      <c r="J61" s="87">
        <f t="shared" si="32"/>
        <v>-0.06902386972677686</v>
      </c>
      <c r="K61" s="33">
        <f t="shared" si="33"/>
        <v>-0.16548797736916548</v>
      </c>
      <c r="L61" s="33">
        <f t="shared" si="34"/>
        <v>0</v>
      </c>
      <c r="M61" s="34">
        <f t="shared" si="35"/>
        <v>-0.06678295976238269</v>
      </c>
      <c r="N61" s="33">
        <f t="shared" si="36"/>
        <v>0.15263503932379402</v>
      </c>
      <c r="O61" s="33">
        <f t="shared" si="37"/>
        <v>0.0020069747339764928</v>
      </c>
      <c r="P61" s="33">
        <f t="shared" si="38"/>
        <v>0</v>
      </c>
      <c r="Q61" s="34">
        <f t="shared" si="39"/>
        <v>0.13300247819121797</v>
      </c>
      <c r="R61" s="33">
        <f t="shared" si="27"/>
        <v>0.13912345815207372</v>
      </c>
      <c r="S61" s="33">
        <f t="shared" si="28"/>
        <v>0.0012966705237120381</v>
      </c>
      <c r="T61" s="33">
        <f t="shared" si="29"/>
        <v>0.009460234253419608</v>
      </c>
      <c r="U61" s="35">
        <f t="shared" si="30"/>
        <v>0.118550166145677</v>
      </c>
    </row>
    <row r="62" spans="1:21" ht="15.75" customHeight="1">
      <c r="A62" s="28" t="str">
        <f t="shared" si="41"/>
        <v>Sun Life </v>
      </c>
      <c r="B62" s="29">
        <v>0</v>
      </c>
      <c r="C62" s="29">
        <v>0</v>
      </c>
      <c r="D62" s="29">
        <v>78759</v>
      </c>
      <c r="E62" s="30">
        <f t="shared" si="40"/>
        <v>78759</v>
      </c>
      <c r="F62" s="29">
        <v>0</v>
      </c>
      <c r="G62" s="29">
        <v>0</v>
      </c>
      <c r="H62" s="29">
        <v>80062</v>
      </c>
      <c r="I62" s="30">
        <f t="shared" si="31"/>
        <v>80062</v>
      </c>
      <c r="J62" s="87">
        <f t="shared" si="32"/>
        <v>0</v>
      </c>
      <c r="K62" s="33">
        <f t="shared" si="33"/>
        <v>0</v>
      </c>
      <c r="L62" s="33">
        <f t="shared" si="34"/>
        <v>0.016544140987061796</v>
      </c>
      <c r="M62" s="34">
        <f t="shared" si="35"/>
        <v>0.016544140987061796</v>
      </c>
      <c r="N62" s="33">
        <f t="shared" si="36"/>
        <v>0</v>
      </c>
      <c r="O62" s="33">
        <f t="shared" si="37"/>
        <v>0</v>
      </c>
      <c r="P62" s="33">
        <f t="shared" si="38"/>
        <v>0.32443955609382336</v>
      </c>
      <c r="Q62" s="34">
        <f t="shared" si="39"/>
        <v>0.010799527590085534</v>
      </c>
      <c r="R62" s="33">
        <f t="shared" si="27"/>
        <v>0</v>
      </c>
      <c r="S62" s="33">
        <f t="shared" si="28"/>
        <v>0</v>
      </c>
      <c r="T62" s="33">
        <f t="shared" si="29"/>
        <v>0.3278810713408142</v>
      </c>
      <c r="U62" s="35">
        <f t="shared" si="30"/>
        <v>0.010485539327779254</v>
      </c>
    </row>
    <row r="63" spans="1:21" ht="15.75" customHeight="1">
      <c r="A63" s="28" t="str">
        <f t="shared" si="41"/>
        <v>Swiss Re</v>
      </c>
      <c r="B63" s="29">
        <v>1394814</v>
      </c>
      <c r="C63" s="29">
        <v>339024</v>
      </c>
      <c r="D63" s="29">
        <v>0</v>
      </c>
      <c r="E63" s="30">
        <f t="shared" si="40"/>
        <v>1733838</v>
      </c>
      <c r="F63" s="29">
        <v>1405741</v>
      </c>
      <c r="G63" s="29">
        <v>316184</v>
      </c>
      <c r="H63" s="29">
        <v>0</v>
      </c>
      <c r="I63" s="30">
        <f t="shared" si="31"/>
        <v>1721925</v>
      </c>
      <c r="J63" s="87">
        <f t="shared" si="32"/>
        <v>0.007834019446320442</v>
      </c>
      <c r="K63" s="33">
        <f t="shared" si="33"/>
        <v>-0.06736986172070414</v>
      </c>
      <c r="L63" s="33">
        <f t="shared" si="34"/>
        <v>0</v>
      </c>
      <c r="M63" s="34">
        <f t="shared" si="35"/>
        <v>-0.006870884131043384</v>
      </c>
      <c r="N63" s="33">
        <f t="shared" si="36"/>
        <v>0.21981075788563967</v>
      </c>
      <c r="O63" s="33">
        <f t="shared" si="37"/>
        <v>0.4811970312670767</v>
      </c>
      <c r="P63" s="33">
        <f t="shared" si="38"/>
        <v>0</v>
      </c>
      <c r="Q63" s="34">
        <f t="shared" si="39"/>
        <v>0.23774592513539688</v>
      </c>
      <c r="R63" s="33">
        <f t="shared" si="27"/>
        <v>0.21689299851186458</v>
      </c>
      <c r="S63" s="33">
        <f t="shared" si="28"/>
        <v>0.3474461634486161</v>
      </c>
      <c r="T63" s="33">
        <f t="shared" si="29"/>
        <v>0</v>
      </c>
      <c r="U63" s="35">
        <f t="shared" si="30"/>
        <v>0.22551662845027967</v>
      </c>
    </row>
    <row r="64" spans="1:21" ht="15.75" customHeight="1">
      <c r="A64" s="28" t="str">
        <f t="shared" si="41"/>
        <v>Transamerica Re</v>
      </c>
      <c r="B64" s="29">
        <v>813781</v>
      </c>
      <c r="C64" s="29">
        <v>36267</v>
      </c>
      <c r="D64" s="29">
        <v>0</v>
      </c>
      <c r="E64" s="30">
        <f t="shared" si="40"/>
        <v>850048</v>
      </c>
      <c r="F64" s="29">
        <v>883123</v>
      </c>
      <c r="G64" s="29">
        <v>33870</v>
      </c>
      <c r="H64" s="29">
        <v>0</v>
      </c>
      <c r="I64" s="30">
        <f t="shared" si="31"/>
        <v>916993</v>
      </c>
      <c r="J64" s="87">
        <f t="shared" si="32"/>
        <v>0.08520965714362955</v>
      </c>
      <c r="K64" s="33">
        <f t="shared" si="33"/>
        <v>-0.06609314252626354</v>
      </c>
      <c r="L64" s="33">
        <f t="shared" si="34"/>
        <v>0</v>
      </c>
      <c r="M64" s="34">
        <f t="shared" si="35"/>
        <v>0.07875437622346032</v>
      </c>
      <c r="N64" s="33">
        <f t="shared" si="36"/>
        <v>0.12824492610694596</v>
      </c>
      <c r="O64" s="33">
        <f t="shared" si="37"/>
        <v>0.051475921270951526</v>
      </c>
      <c r="P64" s="33">
        <f t="shared" si="38"/>
        <v>0</v>
      </c>
      <c r="Q64" s="34">
        <f t="shared" si="39"/>
        <v>0.11655959101686193</v>
      </c>
      <c r="R64" s="33">
        <f t="shared" si="27"/>
        <v>0.13625781386812605</v>
      </c>
      <c r="S64" s="33">
        <f t="shared" si="28"/>
        <v>0.037218839523836214</v>
      </c>
      <c r="T64" s="33">
        <f t="shared" si="29"/>
        <v>0</v>
      </c>
      <c r="U64" s="35">
        <f t="shared" si="30"/>
        <v>0.1200965022707187</v>
      </c>
    </row>
    <row r="65" spans="1:21" ht="15.75" customHeight="1">
      <c r="A65" s="28" t="str">
        <f t="shared" si="41"/>
        <v>Wilton Re</v>
      </c>
      <c r="B65" s="29">
        <v>23011</v>
      </c>
      <c r="C65" s="29">
        <v>54532</v>
      </c>
      <c r="D65" s="29">
        <v>0</v>
      </c>
      <c r="E65" s="30">
        <f>+B65+C65+D65</f>
        <v>77543</v>
      </c>
      <c r="F65" s="29">
        <v>27514</v>
      </c>
      <c r="G65" s="29">
        <v>58155</v>
      </c>
      <c r="H65" s="29">
        <v>0</v>
      </c>
      <c r="I65" s="30">
        <f>+F65+G65+H65</f>
        <v>85669</v>
      </c>
      <c r="J65" s="87">
        <f t="shared" si="32"/>
        <v>0.19568901829559776</v>
      </c>
      <c r="K65" s="33">
        <f t="shared" si="33"/>
        <v>0.06643805472016431</v>
      </c>
      <c r="L65" s="33">
        <f t="shared" si="34"/>
        <v>0</v>
      </c>
      <c r="M65" s="34">
        <f t="shared" si="35"/>
        <v>0.10479346942986471</v>
      </c>
      <c r="N65" s="33">
        <f t="shared" si="36"/>
        <v>0.0036263368088551265</v>
      </c>
      <c r="O65" s="33">
        <f t="shared" si="37"/>
        <v>0.07740052771796753</v>
      </c>
      <c r="P65" s="33">
        <f t="shared" si="38"/>
        <v>0</v>
      </c>
      <c r="Q65" s="34">
        <f t="shared" si="39"/>
        <v>0.01063278822633607</v>
      </c>
      <c r="R65" s="33">
        <f t="shared" si="27"/>
        <v>0.004245158931165444</v>
      </c>
      <c r="S65" s="33">
        <f t="shared" si="28"/>
        <v>0.06390497822582507</v>
      </c>
      <c r="T65" s="33">
        <f t="shared" si="29"/>
        <v>0</v>
      </c>
      <c r="U65" s="35">
        <f t="shared" si="30"/>
        <v>0.01121987545491645</v>
      </c>
    </row>
    <row r="66" spans="1:21" ht="15.75" customHeight="1" thickBot="1">
      <c r="A66" s="28" t="str">
        <f>+A31</f>
        <v>XL Re Life America</v>
      </c>
      <c r="B66" s="29">
        <v>4098</v>
      </c>
      <c r="C66" s="29">
        <v>36533</v>
      </c>
      <c r="D66" s="29">
        <v>29</v>
      </c>
      <c r="E66" s="30">
        <f t="shared" si="40"/>
        <v>40660</v>
      </c>
      <c r="F66" s="29">
        <v>14849</v>
      </c>
      <c r="G66" s="29">
        <v>35201</v>
      </c>
      <c r="H66" s="29">
        <v>26</v>
      </c>
      <c r="I66" s="30">
        <f t="shared" si="31"/>
        <v>50076</v>
      </c>
      <c r="J66" s="87">
        <f t="shared" si="32"/>
        <v>2.6234748657881894</v>
      </c>
      <c r="K66" s="89">
        <f t="shared" si="33"/>
        <v>-0.036460186680535404</v>
      </c>
      <c r="L66" s="89">
        <f t="shared" si="34"/>
        <v>-0.10344827586206896</v>
      </c>
      <c r="M66" s="34">
        <f t="shared" si="35"/>
        <v>0.23157894736842105</v>
      </c>
      <c r="N66" s="33">
        <f t="shared" si="36"/>
        <v>0.0006458097537129333</v>
      </c>
      <c r="O66" s="33">
        <f t="shared" si="37"/>
        <v>0.05185347097338275</v>
      </c>
      <c r="P66" s="33">
        <f t="shared" si="38"/>
        <v>0.00011946250113283406</v>
      </c>
      <c r="Q66" s="34">
        <f t="shared" si="39"/>
        <v>0.005575347475372692</v>
      </c>
      <c r="R66" s="33">
        <f t="shared" si="27"/>
        <v>0.0022910650930026777</v>
      </c>
      <c r="S66" s="33">
        <f t="shared" si="28"/>
        <v>0.03868143991965038</v>
      </c>
      <c r="T66" s="33">
        <f t="shared" si="29"/>
        <v>0.00010647882709476615</v>
      </c>
      <c r="U66" s="35">
        <f t="shared" si="30"/>
        <v>0.00655834062823654</v>
      </c>
    </row>
    <row r="67" spans="1:21" ht="15.75" customHeight="1" thickBot="1">
      <c r="A67" s="64" t="s">
        <v>15</v>
      </c>
      <c r="B67" s="65">
        <f aca="true" t="shared" si="42" ref="B67:I67">SUM(B46:B66)</f>
        <v>6345522</v>
      </c>
      <c r="C67" s="65">
        <f t="shared" si="42"/>
        <v>704543</v>
      </c>
      <c r="D67" s="65">
        <f t="shared" si="42"/>
        <v>242754</v>
      </c>
      <c r="E67" s="66">
        <f t="shared" si="42"/>
        <v>7292819</v>
      </c>
      <c r="F67" s="65">
        <f t="shared" si="42"/>
        <v>6481265</v>
      </c>
      <c r="G67" s="65">
        <f t="shared" si="42"/>
        <v>910023</v>
      </c>
      <c r="H67" s="65">
        <f t="shared" si="42"/>
        <v>244180</v>
      </c>
      <c r="I67" s="65">
        <f t="shared" si="42"/>
        <v>7635468</v>
      </c>
      <c r="J67" s="93">
        <f>IF(+B67&gt;0,(+F67-B67)/B67,0)</f>
        <v>0.021391935919535067</v>
      </c>
      <c r="K67" s="92">
        <f>IF(+C67&gt;0,(+G67-C67)/C67,0)</f>
        <v>0.2916500483292006</v>
      </c>
      <c r="L67" s="92">
        <f>IF(+D67&gt;0,(+H67-D67)/D67,0)</f>
        <v>0.005874259538462806</v>
      </c>
      <c r="M67" s="91">
        <f>IF(+E67&gt;0,(+I67-E67)/E67,0)</f>
        <v>0.04698443770509045</v>
      </c>
      <c r="N67" s="67">
        <f aca="true" t="shared" si="43" ref="N67:U67">SUM(N46:N66)</f>
        <v>1</v>
      </c>
      <c r="O67" s="67">
        <f t="shared" si="43"/>
        <v>1</v>
      </c>
      <c r="P67" s="67">
        <f t="shared" si="43"/>
        <v>1.0000000000000002</v>
      </c>
      <c r="Q67" s="68">
        <f t="shared" si="43"/>
        <v>1</v>
      </c>
      <c r="R67" s="67">
        <f t="shared" si="43"/>
        <v>1</v>
      </c>
      <c r="S67" s="67">
        <f t="shared" si="43"/>
        <v>1</v>
      </c>
      <c r="T67" s="67">
        <f t="shared" si="43"/>
        <v>1.0000000000000002</v>
      </c>
      <c r="U67" s="69">
        <f t="shared" si="43"/>
        <v>1</v>
      </c>
    </row>
    <row r="68" spans="1:21" ht="15.75" customHeight="1">
      <c r="A68" s="75" t="s">
        <v>25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61"/>
      <c r="N68" s="78"/>
      <c r="O68" s="78"/>
      <c r="P68" s="78"/>
      <c r="Q68" s="78"/>
      <c r="R68" s="78"/>
      <c r="S68" s="78"/>
      <c r="T68" s="78"/>
      <c r="U68" s="78"/>
    </row>
    <row r="69" spans="1:21" ht="15.75" customHeight="1">
      <c r="A69" s="75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61"/>
      <c r="N69" s="78"/>
      <c r="O69" s="78"/>
      <c r="P69" s="78"/>
      <c r="Q69" s="78"/>
      <c r="R69" s="78"/>
      <c r="S69" s="78"/>
      <c r="T69" s="78"/>
      <c r="U69" s="78"/>
    </row>
    <row r="70" spans="1:21" ht="15.75" customHeight="1">
      <c r="A70" s="24" t="str">
        <f>+A35</f>
        <v>Canadian Exchange Rate Used: 2007 = 1.01204 and 2008 = 0.818438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61"/>
      <c r="N70" s="78"/>
      <c r="O70" s="78"/>
      <c r="P70" s="78"/>
      <c r="Q70" s="78"/>
      <c r="R70" s="78"/>
      <c r="S70" s="78"/>
      <c r="T70" s="78"/>
      <c r="U70" s="78"/>
    </row>
    <row r="71" spans="1:21" ht="15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 spans="1:21" ht="15.75" customHeight="1">
      <c r="A72" s="75" t="str">
        <f>+A37</f>
        <v>Date:</v>
      </c>
      <c r="B72" s="77">
        <f>+B37</f>
        <v>39912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1:21" ht="15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</row>
    <row r="74" spans="1:21" ht="15.75" customHeight="1">
      <c r="A74" s="75"/>
      <c r="B74" s="75"/>
      <c r="C74" s="75"/>
      <c r="D74" s="75"/>
      <c r="E74" s="79" t="s">
        <v>16</v>
      </c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</row>
    <row r="75" spans="2:21" ht="15.75" customHeight="1" thickBot="1">
      <c r="B75" s="75"/>
      <c r="C75" s="75"/>
      <c r="D75" s="75"/>
      <c r="E75" s="75"/>
      <c r="F75" s="79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</row>
    <row r="76" spans="1:21" ht="15.75" customHeight="1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Q76" s="75"/>
      <c r="R76" s="75"/>
      <c r="S76" s="75"/>
      <c r="T76" s="75"/>
      <c r="U76" s="75"/>
    </row>
    <row r="77" spans="1:21" ht="15.75" customHeight="1">
      <c r="A77" s="45"/>
      <c r="B77" s="42" t="s">
        <v>28</v>
      </c>
      <c r="C77" s="42"/>
      <c r="D77" s="42"/>
      <c r="E77" s="46"/>
      <c r="F77" s="42" t="s">
        <v>27</v>
      </c>
      <c r="G77" s="42"/>
      <c r="H77" s="42"/>
      <c r="I77" s="46"/>
      <c r="J77" s="55" t="s">
        <v>26</v>
      </c>
      <c r="K77" s="42"/>
      <c r="L77" s="42"/>
      <c r="M77" s="44"/>
      <c r="Q77" s="75"/>
      <c r="R77" s="75"/>
      <c r="S77" s="75"/>
      <c r="T77" s="75"/>
      <c r="U77" s="75"/>
    </row>
    <row r="78" spans="1:21" ht="15.75" customHeight="1">
      <c r="A78" s="45"/>
      <c r="B78" s="42"/>
      <c r="C78" s="42">
        <f>+C43</f>
        <v>2007</v>
      </c>
      <c r="D78" s="42"/>
      <c r="E78" s="46"/>
      <c r="F78" s="42"/>
      <c r="G78" s="42">
        <f>+G43</f>
        <v>2008</v>
      </c>
      <c r="H78" s="42"/>
      <c r="I78" s="46"/>
      <c r="J78" s="42"/>
      <c r="K78" s="42">
        <f>+G78</f>
        <v>2008</v>
      </c>
      <c r="L78" s="42"/>
      <c r="M78" s="44"/>
      <c r="Q78" s="75"/>
      <c r="R78" s="75"/>
      <c r="S78" s="75"/>
      <c r="T78" s="75"/>
      <c r="U78" s="75"/>
    </row>
    <row r="79" spans="1:21" ht="15.75" customHeight="1" thickBot="1">
      <c r="A79" s="48" t="s">
        <v>2</v>
      </c>
      <c r="B79" s="51" t="s">
        <v>3</v>
      </c>
      <c r="C79" s="51" t="s">
        <v>4</v>
      </c>
      <c r="D79" s="51" t="s">
        <v>5</v>
      </c>
      <c r="E79" s="52" t="s">
        <v>6</v>
      </c>
      <c r="F79" s="51" t="s">
        <v>3</v>
      </c>
      <c r="G79" s="51" t="s">
        <v>4</v>
      </c>
      <c r="H79" s="51" t="s">
        <v>5</v>
      </c>
      <c r="I79" s="52" t="s">
        <v>6</v>
      </c>
      <c r="J79" s="51" t="s">
        <v>3</v>
      </c>
      <c r="K79" s="51" t="s">
        <v>4</v>
      </c>
      <c r="L79" s="51" t="s">
        <v>5</v>
      </c>
      <c r="M79" s="54" t="s">
        <v>6</v>
      </c>
      <c r="Q79" s="75"/>
      <c r="R79" s="75"/>
      <c r="S79" s="75"/>
      <c r="T79" s="75"/>
      <c r="U79" s="75"/>
    </row>
    <row r="80" spans="1:21" ht="15.75" customHeight="1" thickTop="1">
      <c r="A80" s="28"/>
      <c r="B80" s="61"/>
      <c r="C80" s="61"/>
      <c r="D80" s="61"/>
      <c r="E80" s="62"/>
      <c r="F80" s="61"/>
      <c r="G80" s="61"/>
      <c r="H80" s="61"/>
      <c r="I80" s="62"/>
      <c r="J80" s="61"/>
      <c r="K80" s="61"/>
      <c r="L80" s="61"/>
      <c r="M80" s="63"/>
      <c r="Q80" s="75"/>
      <c r="R80" s="75"/>
      <c r="S80" s="75"/>
      <c r="T80" s="75"/>
      <c r="U80" s="75"/>
    </row>
    <row r="81" spans="1:13" ht="15.75" customHeight="1">
      <c r="A81" s="28" t="str">
        <f>+A46</f>
        <v>Ace Tempest</v>
      </c>
      <c r="B81" s="29">
        <f>+B46</f>
        <v>12093</v>
      </c>
      <c r="C81" s="29">
        <f>+C46</f>
        <v>0</v>
      </c>
      <c r="D81" s="29">
        <f>+D46</f>
        <v>0</v>
      </c>
      <c r="E81" s="30">
        <f>+D81+C81+B81</f>
        <v>12093</v>
      </c>
      <c r="F81" s="29">
        <f>+F11</f>
        <v>10365</v>
      </c>
      <c r="G81" s="29">
        <f>+G11</f>
        <v>0</v>
      </c>
      <c r="H81" s="29">
        <f>+H11</f>
        <v>0</v>
      </c>
      <c r="I81" s="30">
        <f>+F81+G81+H81</f>
        <v>10365</v>
      </c>
      <c r="J81" s="29">
        <f aca="true" t="shared" si="44" ref="J81:J90">+F46</f>
        <v>19240</v>
      </c>
      <c r="K81" s="29">
        <f aca="true" t="shared" si="45" ref="K81:K90">+G46</f>
        <v>0</v>
      </c>
      <c r="L81" s="29">
        <f aca="true" t="shared" si="46" ref="L81:L90">+H46</f>
        <v>0</v>
      </c>
      <c r="M81" s="31">
        <f>+L81+K81+J81</f>
        <v>19240</v>
      </c>
    </row>
    <row r="82" spans="1:13" ht="15.75" customHeight="1">
      <c r="A82" s="28" t="str">
        <f aca="true" t="shared" si="47" ref="A82:D84">+A47</f>
        <v>AXA Equitable</v>
      </c>
      <c r="B82" s="29">
        <f t="shared" si="47"/>
        <v>0</v>
      </c>
      <c r="C82" s="29">
        <f t="shared" si="47"/>
        <v>0</v>
      </c>
      <c r="D82" s="29">
        <f t="shared" si="47"/>
        <v>37280</v>
      </c>
      <c r="E82" s="30">
        <f aca="true" t="shared" si="48" ref="E82:E98">+D82+C82+B82</f>
        <v>37280</v>
      </c>
      <c r="F82" s="29">
        <f aca="true" t="shared" si="49" ref="F82:H84">+F12</f>
        <v>0</v>
      </c>
      <c r="G82" s="29">
        <f t="shared" si="49"/>
        <v>0</v>
      </c>
      <c r="H82" s="29">
        <f t="shared" si="49"/>
        <v>4036</v>
      </c>
      <c r="I82" s="30">
        <f aca="true" t="shared" si="50" ref="I82:I98">+F82+G82+H82</f>
        <v>4036</v>
      </c>
      <c r="J82" s="29">
        <f t="shared" si="44"/>
        <v>0</v>
      </c>
      <c r="K82" s="29">
        <f t="shared" si="45"/>
        <v>0</v>
      </c>
      <c r="L82" s="29">
        <f t="shared" si="46"/>
        <v>36182</v>
      </c>
      <c r="M82" s="31">
        <f aca="true" t="shared" si="51" ref="M82:M98">+L82+K82+J82</f>
        <v>36182</v>
      </c>
    </row>
    <row r="83" spans="1:13" ht="15.75" customHeight="1">
      <c r="A83" s="28" t="str">
        <f t="shared" si="47"/>
        <v>Canada Life </v>
      </c>
      <c r="B83" s="29">
        <f t="shared" si="47"/>
        <v>189662</v>
      </c>
      <c r="C83" s="29">
        <f t="shared" si="47"/>
        <v>3103</v>
      </c>
      <c r="D83" s="29">
        <f t="shared" si="47"/>
        <v>0</v>
      </c>
      <c r="E83" s="30">
        <f t="shared" si="48"/>
        <v>192765</v>
      </c>
      <c r="F83" s="29">
        <f t="shared" si="49"/>
        <v>16800</v>
      </c>
      <c r="G83" s="29">
        <f t="shared" si="49"/>
        <v>8148</v>
      </c>
      <c r="H83" s="29">
        <f t="shared" si="49"/>
        <v>0</v>
      </c>
      <c r="I83" s="30">
        <f t="shared" si="50"/>
        <v>24948</v>
      </c>
      <c r="J83" s="29">
        <f t="shared" si="44"/>
        <v>193569</v>
      </c>
      <c r="K83" s="29">
        <f t="shared" si="45"/>
        <v>11058</v>
      </c>
      <c r="L83" s="29">
        <f t="shared" si="46"/>
        <v>0</v>
      </c>
      <c r="M83" s="31">
        <f t="shared" si="51"/>
        <v>204627</v>
      </c>
    </row>
    <row r="84" spans="1:13" ht="15.75" customHeight="1">
      <c r="A84" s="28" t="str">
        <f t="shared" si="47"/>
        <v>Employers Re. Corp. </v>
      </c>
      <c r="B84" s="29">
        <f t="shared" si="47"/>
        <v>316386</v>
      </c>
      <c r="C84" s="29">
        <f t="shared" si="47"/>
        <v>18464</v>
      </c>
      <c r="D84" s="29">
        <f t="shared" si="47"/>
        <v>55</v>
      </c>
      <c r="E84" s="30">
        <f t="shared" si="48"/>
        <v>334905</v>
      </c>
      <c r="F84" s="29">
        <f t="shared" si="49"/>
        <v>134</v>
      </c>
      <c r="G84" s="29">
        <f t="shared" si="49"/>
        <v>0</v>
      </c>
      <c r="H84" s="29">
        <f t="shared" si="49"/>
        <v>0</v>
      </c>
      <c r="I84" s="30">
        <f t="shared" si="50"/>
        <v>134</v>
      </c>
      <c r="J84" s="29">
        <f t="shared" si="44"/>
        <v>290399</v>
      </c>
      <c r="K84" s="29">
        <f t="shared" si="45"/>
        <v>17782</v>
      </c>
      <c r="L84" s="29">
        <f t="shared" si="46"/>
        <v>55</v>
      </c>
      <c r="M84" s="31">
        <f t="shared" si="51"/>
        <v>308236</v>
      </c>
    </row>
    <row r="85" spans="1:13" ht="15.75" customHeight="1">
      <c r="A85" s="28" t="str">
        <f aca="true" t="shared" si="52" ref="A85:D86">+A50</f>
        <v>General Re Life</v>
      </c>
      <c r="B85" s="29">
        <f t="shared" si="52"/>
        <v>142330</v>
      </c>
      <c r="C85" s="29">
        <f t="shared" si="52"/>
        <v>8489</v>
      </c>
      <c r="D85" s="29">
        <f t="shared" si="52"/>
        <v>0</v>
      </c>
      <c r="E85" s="30">
        <f t="shared" si="48"/>
        <v>150819</v>
      </c>
      <c r="F85" s="29">
        <f aca="true" t="shared" si="53" ref="F85:H86">+F15</f>
        <v>14388</v>
      </c>
      <c r="G85" s="29">
        <f t="shared" si="53"/>
        <v>0</v>
      </c>
      <c r="H85" s="29">
        <f t="shared" si="53"/>
        <v>0</v>
      </c>
      <c r="I85" s="30">
        <f t="shared" si="50"/>
        <v>14388</v>
      </c>
      <c r="J85" s="29">
        <f t="shared" si="44"/>
        <v>148277</v>
      </c>
      <c r="K85" s="29">
        <f t="shared" si="45"/>
        <v>7302</v>
      </c>
      <c r="L85" s="29">
        <f t="shared" si="46"/>
        <v>0</v>
      </c>
      <c r="M85" s="31">
        <f t="shared" si="51"/>
        <v>155579</v>
      </c>
    </row>
    <row r="86" spans="1:13" ht="15.75" customHeight="1">
      <c r="A86" s="28" t="str">
        <f t="shared" si="52"/>
        <v>Generali USA Life Re </v>
      </c>
      <c r="B86" s="29">
        <f t="shared" si="52"/>
        <v>357686</v>
      </c>
      <c r="C86" s="29">
        <f t="shared" si="52"/>
        <v>799</v>
      </c>
      <c r="D86" s="29">
        <f t="shared" si="52"/>
        <v>0</v>
      </c>
      <c r="E86" s="30">
        <f t="shared" si="48"/>
        <v>358485</v>
      </c>
      <c r="F86" s="29">
        <f t="shared" si="53"/>
        <v>82423</v>
      </c>
      <c r="G86" s="29">
        <f t="shared" si="53"/>
        <v>0</v>
      </c>
      <c r="H86" s="29">
        <f t="shared" si="53"/>
        <v>0</v>
      </c>
      <c r="I86" s="30">
        <f t="shared" si="50"/>
        <v>82423</v>
      </c>
      <c r="J86" s="29">
        <f t="shared" si="44"/>
        <v>408651</v>
      </c>
      <c r="K86" s="29">
        <f t="shared" si="45"/>
        <v>732</v>
      </c>
      <c r="L86" s="29">
        <f t="shared" si="46"/>
        <v>0</v>
      </c>
      <c r="M86" s="31">
        <f t="shared" si="51"/>
        <v>409383</v>
      </c>
    </row>
    <row r="87" spans="1:13" ht="15.75" customHeight="1">
      <c r="A87" s="28" t="str">
        <f aca="true" t="shared" si="54" ref="A87:D88">+A52</f>
        <v>Guardian</v>
      </c>
      <c r="B87" s="29">
        <f t="shared" si="54"/>
        <v>0</v>
      </c>
      <c r="C87" s="29">
        <f t="shared" si="54"/>
        <v>508</v>
      </c>
      <c r="D87" s="29">
        <f t="shared" si="54"/>
        <v>2569</v>
      </c>
      <c r="E87" s="30">
        <f>+D87+C87+B87</f>
        <v>3077</v>
      </c>
      <c r="F87" s="29">
        <f aca="true" t="shared" si="55" ref="F87:H88">+F17</f>
        <v>0</v>
      </c>
      <c r="G87" s="29">
        <f t="shared" si="55"/>
        <v>0</v>
      </c>
      <c r="H87" s="29">
        <f t="shared" si="55"/>
        <v>35</v>
      </c>
      <c r="I87" s="30">
        <f>+F87+G87+H87</f>
        <v>35</v>
      </c>
      <c r="J87" s="29">
        <f t="shared" si="44"/>
        <v>0</v>
      </c>
      <c r="K87" s="29">
        <f t="shared" si="45"/>
        <v>454</v>
      </c>
      <c r="L87" s="29">
        <f t="shared" si="46"/>
        <v>2381</v>
      </c>
      <c r="M87" s="31">
        <f>+L87+K87+J87</f>
        <v>2835</v>
      </c>
    </row>
    <row r="88" spans="1:13" ht="15.75" customHeight="1">
      <c r="A88" s="28" t="str">
        <f t="shared" si="54"/>
        <v>Hannover Life Re</v>
      </c>
      <c r="B88" s="29">
        <f t="shared" si="54"/>
        <v>54799</v>
      </c>
      <c r="C88" s="29">
        <f t="shared" si="54"/>
        <v>74468</v>
      </c>
      <c r="D88" s="29">
        <f t="shared" si="54"/>
        <v>855</v>
      </c>
      <c r="E88" s="30">
        <f>+D88+C88+B88</f>
        <v>130122</v>
      </c>
      <c r="F88" s="29">
        <f t="shared" si="55"/>
        <v>17913</v>
      </c>
      <c r="G88" s="29">
        <f t="shared" si="55"/>
        <v>218493</v>
      </c>
      <c r="H88" s="29">
        <f t="shared" si="55"/>
        <v>0</v>
      </c>
      <c r="I88" s="30">
        <f>+F88+G88+H88</f>
        <v>236406</v>
      </c>
      <c r="J88" s="29">
        <f t="shared" si="44"/>
        <v>66334</v>
      </c>
      <c r="K88" s="29">
        <f t="shared" si="45"/>
        <v>289327</v>
      </c>
      <c r="L88" s="29">
        <f t="shared" si="46"/>
        <v>679</v>
      </c>
      <c r="M88" s="31">
        <f>+L88+K88+J88</f>
        <v>356340</v>
      </c>
    </row>
    <row r="89" spans="1:13" ht="15.75" customHeight="1">
      <c r="A89" s="28" t="str">
        <f aca="true" t="shared" si="56" ref="A89:D90">+A54</f>
        <v>Manufacturers Life</v>
      </c>
      <c r="B89" s="29">
        <f t="shared" si="56"/>
        <v>0</v>
      </c>
      <c r="C89" s="29">
        <f t="shared" si="56"/>
        <v>0</v>
      </c>
      <c r="D89" s="29">
        <f t="shared" si="56"/>
        <v>104303</v>
      </c>
      <c r="E89" s="30">
        <f t="shared" si="48"/>
        <v>104303</v>
      </c>
      <c r="F89" s="29">
        <f aca="true" t="shared" si="57" ref="F89:H90">+F19</f>
        <v>0</v>
      </c>
      <c r="G89" s="29">
        <f t="shared" si="57"/>
        <v>0</v>
      </c>
      <c r="H89" s="29">
        <f t="shared" si="57"/>
        <v>13102</v>
      </c>
      <c r="I89" s="30">
        <f t="shared" si="50"/>
        <v>13102</v>
      </c>
      <c r="J89" s="29">
        <f t="shared" si="44"/>
        <v>0</v>
      </c>
      <c r="K89" s="29">
        <f t="shared" si="45"/>
        <v>0</v>
      </c>
      <c r="L89" s="29">
        <f t="shared" si="46"/>
        <v>103985</v>
      </c>
      <c r="M89" s="31">
        <f t="shared" si="51"/>
        <v>103985</v>
      </c>
    </row>
    <row r="90" spans="1:13" ht="15.75" customHeight="1">
      <c r="A90" s="28" t="str">
        <f t="shared" si="56"/>
        <v>Munich American Re</v>
      </c>
      <c r="B90" s="29">
        <f t="shared" si="56"/>
        <v>660977</v>
      </c>
      <c r="C90" s="29">
        <f t="shared" si="56"/>
        <v>30401</v>
      </c>
      <c r="D90" s="29">
        <f t="shared" si="56"/>
        <v>15959</v>
      </c>
      <c r="E90" s="30">
        <f t="shared" si="48"/>
        <v>707337</v>
      </c>
      <c r="F90" s="29">
        <f t="shared" si="57"/>
        <v>49634</v>
      </c>
      <c r="G90" s="29">
        <f t="shared" si="57"/>
        <v>10001</v>
      </c>
      <c r="H90" s="29">
        <f t="shared" si="57"/>
        <v>263</v>
      </c>
      <c r="I90" s="30">
        <f t="shared" si="50"/>
        <v>59898</v>
      </c>
      <c r="J90" s="29">
        <f t="shared" si="44"/>
        <v>664991</v>
      </c>
      <c r="K90" s="29">
        <f t="shared" si="45"/>
        <v>38943</v>
      </c>
      <c r="L90" s="29">
        <f t="shared" si="46"/>
        <v>15189</v>
      </c>
      <c r="M90" s="31">
        <f t="shared" si="51"/>
        <v>719123</v>
      </c>
    </row>
    <row r="91" spans="1:13" ht="15.75" customHeight="1">
      <c r="A91" s="28" t="str">
        <f aca="true" t="shared" si="58" ref="A91:D93">+A56</f>
        <v>Optimum Re (US)</v>
      </c>
      <c r="B91" s="29">
        <f t="shared" si="58"/>
        <v>20126</v>
      </c>
      <c r="C91" s="29">
        <f t="shared" si="58"/>
        <v>4326</v>
      </c>
      <c r="D91" s="29">
        <f t="shared" si="58"/>
        <v>89</v>
      </c>
      <c r="E91" s="30">
        <f t="shared" si="48"/>
        <v>24541</v>
      </c>
      <c r="F91" s="29">
        <f aca="true" t="shared" si="59" ref="F91:H92">+F21</f>
        <v>6555</v>
      </c>
      <c r="G91" s="29">
        <f t="shared" si="59"/>
        <v>349</v>
      </c>
      <c r="H91" s="29">
        <f t="shared" si="59"/>
        <v>0</v>
      </c>
      <c r="I91" s="30">
        <f t="shared" si="50"/>
        <v>6904</v>
      </c>
      <c r="J91" s="29">
        <f aca="true" t="shared" si="60" ref="J91:L92">+F56</f>
        <v>24560</v>
      </c>
      <c r="K91" s="29">
        <f t="shared" si="60"/>
        <v>4482</v>
      </c>
      <c r="L91" s="29">
        <f t="shared" si="60"/>
        <v>0</v>
      </c>
      <c r="M91" s="31">
        <f t="shared" si="51"/>
        <v>29042</v>
      </c>
    </row>
    <row r="92" spans="1:13" ht="15.75" customHeight="1">
      <c r="A92" s="28" t="str">
        <f t="shared" si="58"/>
        <v>Pacific Life</v>
      </c>
      <c r="B92" s="29">
        <f t="shared" si="58"/>
        <v>0</v>
      </c>
      <c r="C92" s="29">
        <f t="shared" si="58"/>
        <v>0</v>
      </c>
      <c r="D92" s="29">
        <f t="shared" si="58"/>
        <v>2856</v>
      </c>
      <c r="E92" s="30">
        <f t="shared" si="48"/>
        <v>2856</v>
      </c>
      <c r="F92" s="29">
        <f t="shared" si="59"/>
        <v>0</v>
      </c>
      <c r="G92" s="29">
        <f t="shared" si="59"/>
        <v>0</v>
      </c>
      <c r="H92" s="29">
        <f t="shared" si="59"/>
        <v>140</v>
      </c>
      <c r="I92" s="30">
        <f t="shared" si="50"/>
        <v>140</v>
      </c>
      <c r="J92" s="29">
        <f t="shared" si="60"/>
        <v>0</v>
      </c>
      <c r="K92" s="29">
        <f t="shared" si="60"/>
        <v>0</v>
      </c>
      <c r="L92" s="29">
        <f t="shared" si="60"/>
        <v>3311</v>
      </c>
      <c r="M92" s="31">
        <f t="shared" si="51"/>
        <v>3311</v>
      </c>
    </row>
    <row r="93" spans="1:13" ht="15.75" customHeight="1">
      <c r="A93" s="28" t="str">
        <f t="shared" si="58"/>
        <v>RGA Re. Company</v>
      </c>
      <c r="B93" s="29">
        <f t="shared" si="58"/>
        <v>1115162</v>
      </c>
      <c r="C93" s="29">
        <f t="shared" si="58"/>
        <v>93109</v>
      </c>
      <c r="D93" s="29">
        <f t="shared" si="58"/>
        <v>0</v>
      </c>
      <c r="E93" s="30">
        <f t="shared" si="48"/>
        <v>1208271</v>
      </c>
      <c r="F93" s="29">
        <f aca="true" t="shared" si="61" ref="F93:H94">+F23</f>
        <v>132474</v>
      </c>
      <c r="G93" s="29">
        <f t="shared" si="61"/>
        <v>6077</v>
      </c>
      <c r="H93" s="29">
        <f t="shared" si="61"/>
        <v>0</v>
      </c>
      <c r="I93" s="30">
        <f t="shared" si="50"/>
        <v>138551</v>
      </c>
      <c r="J93" s="29">
        <f aca="true" t="shared" si="62" ref="J93:L94">+F58</f>
        <v>1160083</v>
      </c>
      <c r="K93" s="29">
        <f t="shared" si="62"/>
        <v>95353</v>
      </c>
      <c r="L93" s="29">
        <f t="shared" si="62"/>
        <v>0</v>
      </c>
      <c r="M93" s="31">
        <f t="shared" si="51"/>
        <v>1255436</v>
      </c>
    </row>
    <row r="94" spans="1:13" ht="15.75" customHeight="1">
      <c r="A94" s="28" t="s">
        <v>24</v>
      </c>
      <c r="B94" s="29">
        <f>+B59</f>
        <v>396</v>
      </c>
      <c r="C94" s="29">
        <f>+C59</f>
        <v>0</v>
      </c>
      <c r="D94" s="29">
        <f>+D59</f>
        <v>0</v>
      </c>
      <c r="E94" s="30">
        <f>+D94+C94+B94</f>
        <v>396</v>
      </c>
      <c r="F94" s="29">
        <f t="shared" si="61"/>
        <v>232</v>
      </c>
      <c r="G94" s="29">
        <f t="shared" si="61"/>
        <v>0</v>
      </c>
      <c r="H94" s="29">
        <f t="shared" si="61"/>
        <v>0</v>
      </c>
      <c r="I94" s="30">
        <f>+F94+G94+H94</f>
        <v>232</v>
      </c>
      <c r="J94" s="29">
        <f t="shared" si="62"/>
        <v>543</v>
      </c>
      <c r="K94" s="29">
        <f t="shared" si="62"/>
        <v>0</v>
      </c>
      <c r="L94" s="29">
        <f t="shared" si="62"/>
        <v>0</v>
      </c>
      <c r="M94" s="31">
        <f>+L94+K94+J94</f>
        <v>543</v>
      </c>
    </row>
    <row r="95" spans="1:13" ht="15.75" customHeight="1">
      <c r="A95" s="28" t="str">
        <f aca="true" t="shared" si="63" ref="A95:D101">+A60</f>
        <v>SCOR Global Life (US)</v>
      </c>
      <c r="B95" s="29">
        <f t="shared" si="63"/>
        <v>271652</v>
      </c>
      <c r="C95" s="29">
        <f t="shared" si="63"/>
        <v>3106</v>
      </c>
      <c r="D95" s="29">
        <f t="shared" si="63"/>
        <v>0</v>
      </c>
      <c r="E95" s="30">
        <f t="shared" si="48"/>
        <v>274758</v>
      </c>
      <c r="F95" s="29">
        <f aca="true" t="shared" si="64" ref="F95:H96">+F25</f>
        <v>17838</v>
      </c>
      <c r="G95" s="29">
        <f t="shared" si="64"/>
        <v>0</v>
      </c>
      <c r="H95" s="29">
        <f t="shared" si="64"/>
        <v>0</v>
      </c>
      <c r="I95" s="30">
        <f t="shared" si="50"/>
        <v>17838</v>
      </c>
      <c r="J95" s="29">
        <f aca="true" t="shared" si="65" ref="J95:J101">+F60</f>
        <v>271695</v>
      </c>
      <c r="K95" s="29">
        <f aca="true" t="shared" si="66" ref="K95:K101">+G60</f>
        <v>0</v>
      </c>
      <c r="L95" s="29">
        <f aca="true" t="shared" si="67" ref="L95:L101">+H60</f>
        <v>0</v>
      </c>
      <c r="M95" s="31">
        <f t="shared" si="51"/>
        <v>271695</v>
      </c>
    </row>
    <row r="96" spans="1:13" ht="15.75" customHeight="1">
      <c r="A96" s="28" t="str">
        <f t="shared" si="63"/>
        <v>Scottish Re (US)</v>
      </c>
      <c r="B96" s="29">
        <f t="shared" si="63"/>
        <v>968549</v>
      </c>
      <c r="C96" s="29">
        <f t="shared" si="63"/>
        <v>1414</v>
      </c>
      <c r="D96" s="29">
        <f t="shared" si="63"/>
        <v>0</v>
      </c>
      <c r="E96" s="30">
        <f t="shared" si="48"/>
        <v>969963</v>
      </c>
      <c r="F96" s="29">
        <f t="shared" si="64"/>
        <v>5982</v>
      </c>
      <c r="G96" s="29">
        <f t="shared" si="64"/>
        <v>0</v>
      </c>
      <c r="H96" s="29">
        <f t="shared" si="64"/>
        <v>0</v>
      </c>
      <c r="I96" s="30">
        <f t="shared" si="50"/>
        <v>5982</v>
      </c>
      <c r="J96" s="29">
        <f t="shared" si="65"/>
        <v>901696</v>
      </c>
      <c r="K96" s="29">
        <f t="shared" si="66"/>
        <v>1180</v>
      </c>
      <c r="L96" s="29">
        <f t="shared" si="67"/>
        <v>2310</v>
      </c>
      <c r="M96" s="31">
        <f t="shared" si="51"/>
        <v>905186</v>
      </c>
    </row>
    <row r="97" spans="1:13" ht="15.75" customHeight="1">
      <c r="A97" s="28" t="str">
        <f t="shared" si="63"/>
        <v>Sun Life </v>
      </c>
      <c r="B97" s="29">
        <f t="shared" si="63"/>
        <v>0</v>
      </c>
      <c r="C97" s="29">
        <f t="shared" si="63"/>
        <v>0</v>
      </c>
      <c r="D97" s="29">
        <f t="shared" si="63"/>
        <v>78759</v>
      </c>
      <c r="E97" s="30">
        <f t="shared" si="48"/>
        <v>78759</v>
      </c>
      <c r="F97" s="29">
        <f aca="true" t="shared" si="68" ref="F97:H101">+F27</f>
        <v>0</v>
      </c>
      <c r="G97" s="29">
        <f t="shared" si="68"/>
        <v>0</v>
      </c>
      <c r="H97" s="29">
        <f t="shared" si="68"/>
        <v>11262</v>
      </c>
      <c r="I97" s="30">
        <f t="shared" si="50"/>
        <v>11262</v>
      </c>
      <c r="J97" s="29">
        <f t="shared" si="65"/>
        <v>0</v>
      </c>
      <c r="K97" s="29">
        <f t="shared" si="66"/>
        <v>0</v>
      </c>
      <c r="L97" s="29">
        <f t="shared" si="67"/>
        <v>80062</v>
      </c>
      <c r="M97" s="31">
        <f t="shared" si="51"/>
        <v>80062</v>
      </c>
    </row>
    <row r="98" spans="1:13" ht="15.75" customHeight="1">
      <c r="A98" s="28" t="str">
        <f t="shared" si="63"/>
        <v>Swiss Re</v>
      </c>
      <c r="B98" s="29">
        <f t="shared" si="63"/>
        <v>1394814</v>
      </c>
      <c r="C98" s="29">
        <f t="shared" si="63"/>
        <v>339024</v>
      </c>
      <c r="D98" s="29">
        <f t="shared" si="63"/>
        <v>0</v>
      </c>
      <c r="E98" s="30">
        <f t="shared" si="48"/>
        <v>1733838</v>
      </c>
      <c r="F98" s="29">
        <f t="shared" si="68"/>
        <v>143791</v>
      </c>
      <c r="G98" s="29">
        <f t="shared" si="68"/>
        <v>5942</v>
      </c>
      <c r="H98" s="29">
        <f t="shared" si="68"/>
        <v>0</v>
      </c>
      <c r="I98" s="30">
        <f t="shared" si="50"/>
        <v>149733</v>
      </c>
      <c r="J98" s="29">
        <f t="shared" si="65"/>
        <v>1405741</v>
      </c>
      <c r="K98" s="29">
        <f t="shared" si="66"/>
        <v>316184</v>
      </c>
      <c r="L98" s="29">
        <f t="shared" si="67"/>
        <v>0</v>
      </c>
      <c r="M98" s="31">
        <f t="shared" si="51"/>
        <v>1721925</v>
      </c>
    </row>
    <row r="99" spans="1:13" ht="15.75" customHeight="1">
      <c r="A99" s="28" t="str">
        <f t="shared" si="63"/>
        <v>Transamerica Re</v>
      </c>
      <c r="B99" s="29">
        <f t="shared" si="63"/>
        <v>813781</v>
      </c>
      <c r="C99" s="29">
        <f t="shared" si="63"/>
        <v>36267</v>
      </c>
      <c r="D99" s="29">
        <f t="shared" si="63"/>
        <v>0</v>
      </c>
      <c r="E99" s="30">
        <f>+D99+C99+B99</f>
        <v>850048</v>
      </c>
      <c r="F99" s="29">
        <f t="shared" si="68"/>
        <v>139703</v>
      </c>
      <c r="G99" s="29">
        <f t="shared" si="68"/>
        <v>0</v>
      </c>
      <c r="H99" s="29">
        <f t="shared" si="68"/>
        <v>0</v>
      </c>
      <c r="I99" s="30">
        <f>+F99+G99+H99</f>
        <v>139703</v>
      </c>
      <c r="J99" s="29">
        <f t="shared" si="65"/>
        <v>883123</v>
      </c>
      <c r="K99" s="29">
        <f t="shared" si="66"/>
        <v>33870</v>
      </c>
      <c r="L99" s="29">
        <f t="shared" si="67"/>
        <v>0</v>
      </c>
      <c r="M99" s="31">
        <f>+L99+K99+J99</f>
        <v>916993</v>
      </c>
    </row>
    <row r="100" spans="1:13" ht="15.75" customHeight="1">
      <c r="A100" s="28" t="str">
        <f t="shared" si="63"/>
        <v>Wilton Re</v>
      </c>
      <c r="B100" s="29">
        <f t="shared" si="63"/>
        <v>23011</v>
      </c>
      <c r="C100" s="29">
        <f t="shared" si="63"/>
        <v>54532</v>
      </c>
      <c r="D100" s="29">
        <f t="shared" si="63"/>
        <v>0</v>
      </c>
      <c r="E100" s="30">
        <f>+D100+C100+B100</f>
        <v>77543</v>
      </c>
      <c r="F100" s="29">
        <f t="shared" si="68"/>
        <v>7983</v>
      </c>
      <c r="G100" s="29">
        <f t="shared" si="68"/>
        <v>7412</v>
      </c>
      <c r="H100" s="29">
        <f t="shared" si="68"/>
        <v>0</v>
      </c>
      <c r="I100" s="30">
        <f>+F100+G100+H100</f>
        <v>15395</v>
      </c>
      <c r="J100" s="29">
        <f t="shared" si="65"/>
        <v>27514</v>
      </c>
      <c r="K100" s="29">
        <f t="shared" si="66"/>
        <v>58155</v>
      </c>
      <c r="L100" s="29">
        <f t="shared" si="67"/>
        <v>0</v>
      </c>
      <c r="M100" s="31">
        <f>+L100+K100+J100</f>
        <v>85669</v>
      </c>
    </row>
    <row r="101" spans="1:13" ht="15.75" customHeight="1" thickBot="1">
      <c r="A101" s="28" t="str">
        <f t="shared" si="63"/>
        <v>XL Re Life America</v>
      </c>
      <c r="B101" s="29">
        <f t="shared" si="63"/>
        <v>4098</v>
      </c>
      <c r="C101" s="29">
        <f t="shared" si="63"/>
        <v>36533</v>
      </c>
      <c r="D101" s="29">
        <f t="shared" si="63"/>
        <v>29</v>
      </c>
      <c r="E101" s="30">
        <f>+D101+C101+B101</f>
        <v>40660</v>
      </c>
      <c r="F101" s="29">
        <f t="shared" si="68"/>
        <v>11576</v>
      </c>
      <c r="G101" s="29">
        <f t="shared" si="68"/>
        <v>364</v>
      </c>
      <c r="H101" s="29">
        <f t="shared" si="68"/>
        <v>0</v>
      </c>
      <c r="I101" s="30">
        <f>+F101+G101+H101</f>
        <v>11940</v>
      </c>
      <c r="J101" s="29">
        <f t="shared" si="65"/>
        <v>14849</v>
      </c>
      <c r="K101" s="29">
        <f t="shared" si="66"/>
        <v>35201</v>
      </c>
      <c r="L101" s="29">
        <f t="shared" si="67"/>
        <v>26</v>
      </c>
      <c r="M101" s="31">
        <f>+L101+K101+J101</f>
        <v>50076</v>
      </c>
    </row>
    <row r="102" spans="1:13" ht="15.75" customHeight="1" thickBot="1">
      <c r="A102" s="64" t="s">
        <v>15</v>
      </c>
      <c r="B102" s="65">
        <f aca="true" t="shared" si="69" ref="B102:I102">SUM(B81:B101)</f>
        <v>6345522</v>
      </c>
      <c r="C102" s="65">
        <f t="shared" si="69"/>
        <v>704543</v>
      </c>
      <c r="D102" s="65">
        <f t="shared" si="69"/>
        <v>242754</v>
      </c>
      <c r="E102" s="66">
        <f t="shared" si="69"/>
        <v>7292819</v>
      </c>
      <c r="F102" s="65">
        <f t="shared" si="69"/>
        <v>657791</v>
      </c>
      <c r="G102" s="65">
        <f t="shared" si="69"/>
        <v>256786</v>
      </c>
      <c r="H102" s="65">
        <f t="shared" si="69"/>
        <v>28838</v>
      </c>
      <c r="I102" s="66">
        <f t="shared" si="69"/>
        <v>943415</v>
      </c>
      <c r="J102" s="65">
        <f>SUM(J81:J101)</f>
        <v>6481265</v>
      </c>
      <c r="K102" s="65">
        <f>SUM(K81:K101)</f>
        <v>910023</v>
      </c>
      <c r="L102" s="65">
        <f>SUM(L81:L101)</f>
        <v>244180</v>
      </c>
      <c r="M102" s="80">
        <f>SUM(M81:M101)</f>
        <v>7635468</v>
      </c>
    </row>
    <row r="103" spans="1:16" ht="15.75" customHeight="1">
      <c r="A103" s="75" t="s">
        <v>25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1:21" ht="15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61"/>
      <c r="R104" s="61"/>
      <c r="S104" s="61"/>
      <c r="T104" s="61"/>
      <c r="U104" s="61"/>
    </row>
    <row r="105" spans="1:21" ht="15.75" customHeight="1">
      <c r="A105" s="24" t="str">
        <f>+A70</f>
        <v>Canadian Exchange Rate Used: 2007 = 1.01204 and 2008 = 0.818438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</row>
    <row r="106" spans="1:21" ht="15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</row>
  </sheetData>
  <sheetProtection/>
  <mergeCells count="2">
    <mergeCell ref="J42:M42"/>
    <mergeCell ref="J7:M7"/>
  </mergeCells>
  <printOptions/>
  <pageMargins left="0.75" right="0.75" top="0.75" bottom="0.75" header="0.5" footer="0.5"/>
  <pageSetup fitToHeight="3" horizontalDpi="600" verticalDpi="600" orientation="landscape" scale="49" r:id="rId1"/>
  <rowBreaks count="2" manualBreakCount="2">
    <brk id="36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zoomScalePageLayoutView="0" workbookViewId="0" topLeftCell="A19">
      <selection activeCell="L75" sqref="L75"/>
    </sheetView>
  </sheetViews>
  <sheetFormatPr defaultColWidth="9.140625" defaultRowHeight="15.75" customHeight="1"/>
  <cols>
    <col min="1" max="1" width="29.140625" style="0" customWidth="1"/>
    <col min="2" max="2" width="14.140625" style="0" customWidth="1"/>
    <col min="3" max="4" width="9.28125" style="0" bestFit="1" customWidth="1"/>
    <col min="5" max="6" width="10.421875" style="0" bestFit="1" customWidth="1"/>
    <col min="7" max="7" width="9.28125" style="0" bestFit="1" customWidth="1"/>
    <col min="8" max="8" width="9.421875" style="0" customWidth="1"/>
    <col min="9" max="9" width="10.28125" style="0" customWidth="1"/>
    <col min="10" max="10" width="10.57421875" style="0" customWidth="1"/>
    <col min="11" max="12" width="10.28125" style="0" customWidth="1"/>
    <col min="13" max="13" width="12.140625" style="0" customWidth="1"/>
  </cols>
  <sheetData>
    <row r="1" spans="1:21" ht="15.75" customHeight="1">
      <c r="A1" s="1" t="s">
        <v>0</v>
      </c>
      <c r="B1" s="1" t="str">
        <f>+'usord '!B1</f>
        <v> 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" t="s">
        <v>1</v>
      </c>
      <c r="B2" s="59">
        <f>+'usord '!B2</f>
        <v>39912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customHeight="1">
      <c r="A4" s="1"/>
      <c r="B4" s="1"/>
      <c r="C4" s="4" t="s">
        <v>69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</row>
    <row r="7" spans="1:21" ht="15.75" customHeight="1">
      <c r="A7" s="41"/>
      <c r="B7" s="42"/>
      <c r="C7" s="42"/>
      <c r="D7" s="42" t="s">
        <v>32</v>
      </c>
      <c r="E7" s="42"/>
      <c r="F7" s="42"/>
      <c r="G7" s="42"/>
      <c r="H7" s="42"/>
      <c r="I7" s="42"/>
      <c r="J7" s="108" t="s">
        <v>62</v>
      </c>
      <c r="K7" s="109"/>
      <c r="L7" s="109"/>
      <c r="M7" s="110"/>
      <c r="N7" s="42"/>
      <c r="O7" s="42"/>
      <c r="P7" s="42" t="s">
        <v>9</v>
      </c>
      <c r="Q7" s="42"/>
      <c r="R7" s="42"/>
      <c r="S7" s="42"/>
      <c r="T7" s="42"/>
      <c r="U7" s="44"/>
    </row>
    <row r="8" spans="1:21" ht="15.75" customHeight="1">
      <c r="A8" s="45"/>
      <c r="B8" s="42"/>
      <c r="C8" s="42">
        <v>2007</v>
      </c>
      <c r="D8" s="42"/>
      <c r="E8" s="46"/>
      <c r="F8" s="42"/>
      <c r="G8" s="42">
        <v>2008</v>
      </c>
      <c r="H8" s="42"/>
      <c r="I8" s="46"/>
      <c r="J8" s="42"/>
      <c r="K8" s="42"/>
      <c r="L8" s="42"/>
      <c r="M8" s="86" t="s">
        <v>25</v>
      </c>
      <c r="N8" s="42"/>
      <c r="O8" s="42">
        <f>+C8</f>
        <v>2007</v>
      </c>
      <c r="P8" s="42"/>
      <c r="Q8" s="46"/>
      <c r="R8" s="42"/>
      <c r="S8" s="42">
        <f>+G8</f>
        <v>2008</v>
      </c>
      <c r="T8" s="42"/>
      <c r="U8" s="44"/>
    </row>
    <row r="9" spans="1:21" ht="15.75" customHeight="1" thickBot="1">
      <c r="A9" s="48" t="s">
        <v>2</v>
      </c>
      <c r="B9" s="51" t="s">
        <v>3</v>
      </c>
      <c r="C9" s="51" t="s">
        <v>4</v>
      </c>
      <c r="D9" s="51" t="s">
        <v>5</v>
      </c>
      <c r="E9" s="52" t="s">
        <v>6</v>
      </c>
      <c r="F9" s="51" t="s">
        <v>3</v>
      </c>
      <c r="G9" s="51" t="s">
        <v>4</v>
      </c>
      <c r="H9" s="51" t="s">
        <v>5</v>
      </c>
      <c r="I9" s="52" t="s">
        <v>6</v>
      </c>
      <c r="J9" s="51" t="s">
        <v>3</v>
      </c>
      <c r="K9" s="51" t="s">
        <v>4</v>
      </c>
      <c r="L9" s="51" t="s">
        <v>5</v>
      </c>
      <c r="M9" s="52" t="s">
        <v>6</v>
      </c>
      <c r="N9" s="51" t="s">
        <v>3</v>
      </c>
      <c r="O9" s="51" t="s">
        <v>4</v>
      </c>
      <c r="P9" s="51" t="s">
        <v>5</v>
      </c>
      <c r="Q9" s="52" t="s">
        <v>6</v>
      </c>
      <c r="R9" s="51" t="s">
        <v>3</v>
      </c>
      <c r="S9" s="51" t="s">
        <v>4</v>
      </c>
      <c r="T9" s="51" t="s">
        <v>5</v>
      </c>
      <c r="U9" s="54" t="s">
        <v>6</v>
      </c>
    </row>
    <row r="10" spans="1:21" s="60" customFormat="1" ht="15.75" customHeight="1" thickTop="1">
      <c r="A10" s="28"/>
      <c r="B10" s="61"/>
      <c r="C10" s="61"/>
      <c r="D10" s="61"/>
      <c r="E10" s="62"/>
      <c r="F10" s="61"/>
      <c r="G10" s="61"/>
      <c r="H10" s="61"/>
      <c r="I10" s="61"/>
      <c r="J10" s="90"/>
      <c r="K10" s="88"/>
      <c r="L10" s="88"/>
      <c r="M10" s="62"/>
      <c r="N10" s="61"/>
      <c r="O10" s="61"/>
      <c r="P10" s="61"/>
      <c r="Q10" s="71"/>
      <c r="R10" s="61"/>
      <c r="S10" s="61"/>
      <c r="T10" s="61"/>
      <c r="U10" s="72"/>
    </row>
    <row r="11" spans="1:21" s="60" customFormat="1" ht="15.75" customHeight="1">
      <c r="A11" s="28" t="s">
        <v>82</v>
      </c>
      <c r="B11" s="29">
        <v>0</v>
      </c>
      <c r="C11" s="29">
        <v>0</v>
      </c>
      <c r="D11" s="29">
        <v>0</v>
      </c>
      <c r="E11" s="30">
        <f>+D11+C11+B11</f>
        <v>0</v>
      </c>
      <c r="F11" s="29">
        <v>30</v>
      </c>
      <c r="G11" s="29">
        <v>19078</v>
      </c>
      <c r="H11" s="29">
        <v>0</v>
      </c>
      <c r="I11" s="29">
        <f>+H11+G11+F11</f>
        <v>19108</v>
      </c>
      <c r="J11" s="87">
        <f aca="true" t="shared" si="0" ref="J11:M12">IF(+B11&gt;0,(+F11-B11)/B11,0)</f>
        <v>0</v>
      </c>
      <c r="K11" s="33">
        <f t="shared" si="0"/>
        <v>0</v>
      </c>
      <c r="L11" s="33">
        <f t="shared" si="0"/>
        <v>0</v>
      </c>
      <c r="M11" s="34">
        <f t="shared" si="0"/>
        <v>0</v>
      </c>
      <c r="N11" s="33">
        <f aca="true" t="shared" si="1" ref="N11:N23">+B11/$B$24</f>
        <v>0</v>
      </c>
      <c r="O11" s="33">
        <f aca="true" t="shared" si="2" ref="O11:O23">IF($C$24=0,0,+C11/$C$24)</f>
        <v>0</v>
      </c>
      <c r="P11" s="33">
        <f aca="true" t="shared" si="3" ref="P11:P23">+D11/$D$24</f>
        <v>0</v>
      </c>
      <c r="Q11" s="34">
        <f aca="true" t="shared" si="4" ref="Q11:Q23">+E11/$E$24</f>
        <v>0</v>
      </c>
      <c r="R11" s="33">
        <f>+F11/$F$24</f>
        <v>0.00019994934616563803</v>
      </c>
      <c r="S11" s="33">
        <f>IF(+$G$24=0,0,+G11/$G$24)</f>
        <v>1</v>
      </c>
      <c r="T11" s="33">
        <f>+H11/$H$24</f>
        <v>0</v>
      </c>
      <c r="U11" s="35">
        <f>+I11/$I$24</f>
        <v>0.11116148630617077</v>
      </c>
    </row>
    <row r="12" spans="1:21" s="60" customFormat="1" ht="15.75" customHeight="1">
      <c r="A12" s="28" t="s">
        <v>47</v>
      </c>
      <c r="B12" s="29">
        <v>0</v>
      </c>
      <c r="C12" s="29">
        <v>0</v>
      </c>
      <c r="D12" s="29">
        <f>942/1.01204</f>
        <v>930.7932492786846</v>
      </c>
      <c r="E12" s="30">
        <f>+D12+C12+B12</f>
        <v>930.7932492786846</v>
      </c>
      <c r="F12" s="29">
        <v>0</v>
      </c>
      <c r="G12" s="29">
        <v>0</v>
      </c>
      <c r="H12" s="29">
        <f>389/0.818438</f>
        <v>475.2956241034752</v>
      </c>
      <c r="I12" s="29">
        <f>+H12+G12+F12</f>
        <v>475.2956241034752</v>
      </c>
      <c r="J12" s="87">
        <f t="shared" si="0"/>
        <v>0</v>
      </c>
      <c r="K12" s="33">
        <f t="shared" si="0"/>
        <v>0</v>
      </c>
      <c r="L12" s="33">
        <f t="shared" si="0"/>
        <v>-0.4893649857561772</v>
      </c>
      <c r="M12" s="34">
        <f t="shared" si="0"/>
        <v>-0.4893649857561772</v>
      </c>
      <c r="N12" s="33">
        <f t="shared" si="1"/>
        <v>0</v>
      </c>
      <c r="O12" s="33">
        <f t="shared" si="2"/>
        <v>0</v>
      </c>
      <c r="P12" s="33">
        <f t="shared" si="3"/>
        <v>0.24343135630100773</v>
      </c>
      <c r="Q12" s="34">
        <f t="shared" si="4"/>
        <v>0.006161923282185365</v>
      </c>
      <c r="R12" s="33">
        <f>+F12/$F$24</f>
        <v>0</v>
      </c>
      <c r="S12" s="33">
        <f>IF(+$G$24=0,0,+G12/$G$24)</f>
        <v>0</v>
      </c>
      <c r="T12" s="33">
        <f>+H12/$H$24</f>
        <v>0.17108859704323223</v>
      </c>
      <c r="U12" s="35">
        <f>+I12/$I$24</f>
        <v>0.0027650496132594383</v>
      </c>
    </row>
    <row r="13" spans="1:21" s="60" customFormat="1" ht="15.75" customHeight="1">
      <c r="A13" s="28" t="s">
        <v>39</v>
      </c>
      <c r="B13" s="29">
        <v>2</v>
      </c>
      <c r="C13" s="29">
        <v>0</v>
      </c>
      <c r="D13" s="29">
        <v>0</v>
      </c>
      <c r="E13" s="30">
        <f aca="true" t="shared" si="5" ref="E13:E18">+D13+C13+B13</f>
        <v>2</v>
      </c>
      <c r="F13" s="29">
        <v>1</v>
      </c>
      <c r="G13" s="29">
        <v>0</v>
      </c>
      <c r="H13" s="29">
        <v>0</v>
      </c>
      <c r="I13" s="29">
        <f aca="true" t="shared" si="6" ref="I13:I23">+H13+G13+F13</f>
        <v>1</v>
      </c>
      <c r="J13" s="87">
        <f aca="true" t="shared" si="7" ref="J13:J23">IF(+B13&gt;0,(+F13-B13)/B13,0)</f>
        <v>-0.5</v>
      </c>
      <c r="K13" s="33">
        <f aca="true" t="shared" si="8" ref="K13:K23">IF(+C13&gt;0,(+G13-C13)/C13,0)</f>
        <v>0</v>
      </c>
      <c r="L13" s="33">
        <f aca="true" t="shared" si="9" ref="L13:L23">IF(+D13&gt;0,(+H13-D13)/D13,0)</f>
        <v>0</v>
      </c>
      <c r="M13" s="34">
        <f aca="true" t="shared" si="10" ref="M13:M24">IF(+E13&gt;0,(+I13-E13)/E13,0)</f>
        <v>-0.5</v>
      </c>
      <c r="N13" s="33">
        <f t="shared" si="1"/>
        <v>1.4353895288333872E-05</v>
      </c>
      <c r="O13" s="33">
        <f t="shared" si="2"/>
        <v>0</v>
      </c>
      <c r="P13" s="33">
        <f t="shared" si="3"/>
        <v>0</v>
      </c>
      <c r="Q13" s="34">
        <f t="shared" si="4"/>
        <v>1.3240154646502925E-05</v>
      </c>
      <c r="R13" s="33">
        <f>+F13/$F$24</f>
        <v>6.664978205521268E-06</v>
      </c>
      <c r="S13" s="33">
        <f>IF(+$G$24=0,0,+G13/$G$24)</f>
        <v>0</v>
      </c>
      <c r="T13" s="33">
        <f>+H13/$H$24</f>
        <v>0</v>
      </c>
      <c r="U13" s="35">
        <f>+I13/$I$24</f>
        <v>5.817536440557398E-06</v>
      </c>
    </row>
    <row r="14" spans="1:21" s="60" customFormat="1" ht="15.75" customHeight="1">
      <c r="A14" s="28" t="s">
        <v>65</v>
      </c>
      <c r="B14" s="29">
        <v>0</v>
      </c>
      <c r="C14" s="29">
        <v>0</v>
      </c>
      <c r="D14" s="29">
        <v>0</v>
      </c>
      <c r="E14" s="30">
        <f t="shared" si="5"/>
        <v>0</v>
      </c>
      <c r="F14" s="104" t="s">
        <v>77</v>
      </c>
      <c r="G14" s="104" t="s">
        <v>77</v>
      </c>
      <c r="H14" s="104" t="s">
        <v>77</v>
      </c>
      <c r="I14" s="104" t="s">
        <v>77</v>
      </c>
      <c r="J14" s="87">
        <f t="shared" si="7"/>
        <v>0</v>
      </c>
      <c r="K14" s="33">
        <f t="shared" si="8"/>
        <v>0</v>
      </c>
      <c r="L14" s="33">
        <f t="shared" si="9"/>
        <v>0</v>
      </c>
      <c r="M14" s="34">
        <f t="shared" si="10"/>
        <v>0</v>
      </c>
      <c r="N14" s="33">
        <f t="shared" si="1"/>
        <v>0</v>
      </c>
      <c r="O14" s="33">
        <f t="shared" si="2"/>
        <v>0</v>
      </c>
      <c r="P14" s="33">
        <f t="shared" si="3"/>
        <v>0</v>
      </c>
      <c r="Q14" s="34">
        <f t="shared" si="4"/>
        <v>0</v>
      </c>
      <c r="R14" s="33">
        <v>0</v>
      </c>
      <c r="S14" s="33">
        <v>0</v>
      </c>
      <c r="T14" s="33">
        <v>0</v>
      </c>
      <c r="U14" s="35">
        <v>0</v>
      </c>
    </row>
    <row r="15" spans="1:21" s="60" customFormat="1" ht="15.75" customHeight="1">
      <c r="A15" s="28" t="s">
        <v>43</v>
      </c>
      <c r="B15" s="29">
        <v>0</v>
      </c>
      <c r="C15" s="29">
        <v>0</v>
      </c>
      <c r="D15" s="29">
        <v>0</v>
      </c>
      <c r="E15" s="30">
        <f t="shared" si="5"/>
        <v>0</v>
      </c>
      <c r="F15" s="29">
        <v>0</v>
      </c>
      <c r="G15" s="29">
        <v>0</v>
      </c>
      <c r="H15" s="29">
        <v>0</v>
      </c>
      <c r="I15" s="29">
        <f t="shared" si="6"/>
        <v>0</v>
      </c>
      <c r="J15" s="87">
        <f t="shared" si="7"/>
        <v>0</v>
      </c>
      <c r="K15" s="33">
        <f t="shared" si="8"/>
        <v>0</v>
      </c>
      <c r="L15" s="33">
        <f t="shared" si="9"/>
        <v>0</v>
      </c>
      <c r="M15" s="34">
        <f t="shared" si="10"/>
        <v>0</v>
      </c>
      <c r="N15" s="33">
        <f t="shared" si="1"/>
        <v>0</v>
      </c>
      <c r="O15" s="33">
        <f t="shared" si="2"/>
        <v>0</v>
      </c>
      <c r="P15" s="33">
        <f t="shared" si="3"/>
        <v>0</v>
      </c>
      <c r="Q15" s="34">
        <f t="shared" si="4"/>
        <v>0</v>
      </c>
      <c r="R15" s="33">
        <f aca="true" t="shared" si="11" ref="R15:R23">+F15/$F$24</f>
        <v>0</v>
      </c>
      <c r="S15" s="33">
        <f aca="true" t="shared" si="12" ref="S15:S23">IF(+$G$24=0,0,+G15/$G$24)</f>
        <v>0</v>
      </c>
      <c r="T15" s="33">
        <f aca="true" t="shared" si="13" ref="T15:T23">+H15/$H$24</f>
        <v>0</v>
      </c>
      <c r="U15" s="35">
        <f aca="true" t="shared" si="14" ref="U15:U23">+I15/$I$24</f>
        <v>0</v>
      </c>
    </row>
    <row r="16" spans="1:21" s="60" customFormat="1" ht="15.75" customHeight="1">
      <c r="A16" s="28" t="s">
        <v>11</v>
      </c>
      <c r="B16" s="29">
        <v>0</v>
      </c>
      <c r="C16" s="29">
        <v>0</v>
      </c>
      <c r="D16" s="29">
        <f>1315/1.01204</f>
        <v>1299.3557566894588</v>
      </c>
      <c r="E16" s="30">
        <f t="shared" si="5"/>
        <v>1299.3557566894588</v>
      </c>
      <c r="F16" s="29">
        <v>0</v>
      </c>
      <c r="G16" s="29">
        <v>0</v>
      </c>
      <c r="H16" s="29">
        <f>911/0.818438</f>
        <v>1113.095921743614</v>
      </c>
      <c r="I16" s="29">
        <f t="shared" si="6"/>
        <v>1113.095921743614</v>
      </c>
      <c r="J16" s="87">
        <f t="shared" si="7"/>
        <v>0</v>
      </c>
      <c r="K16" s="33">
        <f t="shared" si="8"/>
        <v>0</v>
      </c>
      <c r="L16" s="33">
        <f t="shared" si="9"/>
        <v>-0.14334783525368264</v>
      </c>
      <c r="M16" s="34">
        <f t="shared" si="10"/>
        <v>-0.14334783525368264</v>
      </c>
      <c r="N16" s="33">
        <f t="shared" si="1"/>
        <v>0</v>
      </c>
      <c r="O16" s="33">
        <f t="shared" si="2"/>
        <v>0</v>
      </c>
      <c r="P16" s="33">
        <f t="shared" si="3"/>
        <v>0.3398219039658441</v>
      </c>
      <c r="Q16" s="34">
        <f t="shared" si="4"/>
        <v>0.00860183557969613</v>
      </c>
      <c r="R16" s="33">
        <f t="shared" si="11"/>
        <v>0</v>
      </c>
      <c r="S16" s="33">
        <f t="shared" si="12"/>
        <v>0</v>
      </c>
      <c r="T16" s="33">
        <f t="shared" si="13"/>
        <v>0.40067278125034594</v>
      </c>
      <c r="U16" s="35">
        <f t="shared" si="14"/>
        <v>0.006475476086579302</v>
      </c>
    </row>
    <row r="17" spans="1:21" s="60" customFormat="1" ht="15.75" customHeight="1">
      <c r="A17" s="28" t="s">
        <v>21</v>
      </c>
      <c r="B17" s="29">
        <v>46872</v>
      </c>
      <c r="C17" s="29">
        <v>0</v>
      </c>
      <c r="D17" s="29">
        <v>0</v>
      </c>
      <c r="E17" s="30">
        <f t="shared" si="5"/>
        <v>46872</v>
      </c>
      <c r="F17" s="29">
        <v>43828</v>
      </c>
      <c r="G17" s="29">
        <v>0</v>
      </c>
      <c r="H17" s="29">
        <v>0</v>
      </c>
      <c r="I17" s="29">
        <f t="shared" si="6"/>
        <v>43828</v>
      </c>
      <c r="J17" s="87">
        <f t="shared" si="7"/>
        <v>-0.06494282300733914</v>
      </c>
      <c r="K17" s="33">
        <f t="shared" si="8"/>
        <v>0</v>
      </c>
      <c r="L17" s="33">
        <f t="shared" si="9"/>
        <v>0</v>
      </c>
      <c r="M17" s="34">
        <f t="shared" si="10"/>
        <v>-0.06494282300733914</v>
      </c>
      <c r="N17" s="33">
        <f t="shared" si="1"/>
        <v>0.3363978899773926</v>
      </c>
      <c r="O17" s="33">
        <f t="shared" si="2"/>
        <v>0</v>
      </c>
      <c r="P17" s="33">
        <f t="shared" si="3"/>
        <v>0</v>
      </c>
      <c r="Q17" s="34">
        <f t="shared" si="4"/>
        <v>0.31029626429544255</v>
      </c>
      <c r="R17" s="33">
        <f t="shared" si="11"/>
        <v>0.29211266479158615</v>
      </c>
      <c r="S17" s="33">
        <f t="shared" si="12"/>
        <v>0</v>
      </c>
      <c r="T17" s="33">
        <f t="shared" si="13"/>
        <v>0</v>
      </c>
      <c r="U17" s="35">
        <f t="shared" si="14"/>
        <v>0.25497098711674965</v>
      </c>
    </row>
    <row r="18" spans="1:21" s="60" customFormat="1" ht="15.75" customHeight="1">
      <c r="A18" s="28" t="s">
        <v>23</v>
      </c>
      <c r="B18" s="29">
        <v>4174</v>
      </c>
      <c r="C18" s="29">
        <v>0</v>
      </c>
      <c r="D18" s="29">
        <v>0</v>
      </c>
      <c r="E18" s="30">
        <f t="shared" si="5"/>
        <v>4174</v>
      </c>
      <c r="F18" s="29">
        <v>4303</v>
      </c>
      <c r="G18" s="29">
        <v>0</v>
      </c>
      <c r="H18" s="29">
        <v>0</v>
      </c>
      <c r="I18" s="29">
        <f t="shared" si="6"/>
        <v>4303</v>
      </c>
      <c r="J18" s="87">
        <f t="shared" si="7"/>
        <v>0.03090560613320556</v>
      </c>
      <c r="K18" s="33">
        <f t="shared" si="8"/>
        <v>0</v>
      </c>
      <c r="L18" s="33">
        <f t="shared" si="9"/>
        <v>0</v>
      </c>
      <c r="M18" s="34">
        <f t="shared" si="10"/>
        <v>0.03090560613320556</v>
      </c>
      <c r="N18" s="33">
        <f t="shared" si="1"/>
        <v>0.02995657946675279</v>
      </c>
      <c r="O18" s="33">
        <f t="shared" si="2"/>
        <v>0</v>
      </c>
      <c r="P18" s="33">
        <f t="shared" si="3"/>
        <v>0</v>
      </c>
      <c r="Q18" s="34">
        <f t="shared" si="4"/>
        <v>0.027632202747251602</v>
      </c>
      <c r="R18" s="33">
        <f t="shared" si="11"/>
        <v>0.028679401218358016</v>
      </c>
      <c r="S18" s="33">
        <f t="shared" si="12"/>
        <v>0</v>
      </c>
      <c r="T18" s="33">
        <f t="shared" si="13"/>
        <v>0</v>
      </c>
      <c r="U18" s="35">
        <f t="shared" si="14"/>
        <v>0.025032859303718485</v>
      </c>
    </row>
    <row r="19" spans="1:21" s="60" customFormat="1" ht="15.75" customHeight="1">
      <c r="A19" s="28" t="s">
        <v>44</v>
      </c>
      <c r="B19" s="29">
        <v>0</v>
      </c>
      <c r="C19" s="29">
        <v>0</v>
      </c>
      <c r="D19" s="29">
        <f>43/1.01204</f>
        <v>42.48843919212679</v>
      </c>
      <c r="E19" s="30">
        <f>+D19+C19+B19</f>
        <v>42.48843919212679</v>
      </c>
      <c r="F19" s="29">
        <v>0</v>
      </c>
      <c r="G19" s="29">
        <v>0</v>
      </c>
      <c r="H19" s="29">
        <f>60/0.81438</f>
        <v>73.67567965814484</v>
      </c>
      <c r="I19" s="29">
        <f>+H19+G19+F19</f>
        <v>73.67567965814484</v>
      </c>
      <c r="J19" s="87">
        <f t="shared" si="7"/>
        <v>0</v>
      </c>
      <c r="K19" s="33">
        <f t="shared" si="8"/>
        <v>0</v>
      </c>
      <c r="L19" s="33">
        <f t="shared" si="9"/>
        <v>0.7340170893309049</v>
      </c>
      <c r="M19" s="34">
        <f t="shared" si="10"/>
        <v>0.7340170893309049</v>
      </c>
      <c r="N19" s="33">
        <f t="shared" si="1"/>
        <v>0</v>
      </c>
      <c r="O19" s="33">
        <f t="shared" si="2"/>
        <v>0</v>
      </c>
      <c r="P19" s="33">
        <f t="shared" si="3"/>
        <v>0.011112047049833686</v>
      </c>
      <c r="Q19" s="34">
        <f t="shared" si="4"/>
        <v>0.00028127675279614726</v>
      </c>
      <c r="R19" s="33">
        <f t="shared" si="11"/>
        <v>0</v>
      </c>
      <c r="S19" s="33">
        <f t="shared" si="12"/>
        <v>0</v>
      </c>
      <c r="T19" s="33">
        <f t="shared" si="13"/>
        <v>0.026520481211445773</v>
      </c>
      <c r="U19" s="35">
        <f t="shared" si="14"/>
        <v>0.0004286109511940911</v>
      </c>
    </row>
    <row r="20" spans="1:21" s="60" customFormat="1" ht="15.75" customHeight="1">
      <c r="A20" s="28" t="s">
        <v>24</v>
      </c>
      <c r="B20" s="29">
        <v>48537</v>
      </c>
      <c r="C20" s="29">
        <v>0</v>
      </c>
      <c r="D20" s="29">
        <v>0</v>
      </c>
      <c r="E20" s="30">
        <f>+D20+C20+B20</f>
        <v>48537</v>
      </c>
      <c r="F20" s="29">
        <v>52289</v>
      </c>
      <c r="G20" s="29">
        <v>0</v>
      </c>
      <c r="H20" s="29">
        <v>0</v>
      </c>
      <c r="I20" s="29">
        <f t="shared" si="6"/>
        <v>52289</v>
      </c>
      <c r="J20" s="87">
        <f t="shared" si="7"/>
        <v>0.0773018521952325</v>
      </c>
      <c r="K20" s="33">
        <f t="shared" si="8"/>
        <v>0</v>
      </c>
      <c r="L20" s="33">
        <f t="shared" si="9"/>
        <v>0</v>
      </c>
      <c r="M20" s="34">
        <f t="shared" si="10"/>
        <v>0.0773018521952325</v>
      </c>
      <c r="N20" s="33">
        <f t="shared" si="1"/>
        <v>0.34834750780493057</v>
      </c>
      <c r="O20" s="33">
        <f t="shared" si="2"/>
        <v>0</v>
      </c>
      <c r="P20" s="33">
        <f t="shared" si="3"/>
        <v>0</v>
      </c>
      <c r="Q20" s="34">
        <f t="shared" si="4"/>
        <v>0.32131869303865623</v>
      </c>
      <c r="R20" s="33">
        <f t="shared" si="11"/>
        <v>0.3485050453885016</v>
      </c>
      <c r="S20" s="33">
        <f t="shared" si="12"/>
        <v>0</v>
      </c>
      <c r="T20" s="33">
        <f t="shared" si="13"/>
        <v>0</v>
      </c>
      <c r="U20" s="35">
        <f t="shared" si="14"/>
        <v>0.3041931629403058</v>
      </c>
    </row>
    <row r="21" spans="1:21" s="60" customFormat="1" ht="15.75" customHeight="1">
      <c r="A21" s="28" t="s">
        <v>80</v>
      </c>
      <c r="B21" s="29">
        <v>3390</v>
      </c>
      <c r="C21" s="29">
        <v>7897</v>
      </c>
      <c r="D21" s="29">
        <v>0</v>
      </c>
      <c r="E21" s="30">
        <f>+D21+C21+B21</f>
        <v>11287</v>
      </c>
      <c r="F21" s="29">
        <v>4452</v>
      </c>
      <c r="G21" s="29">
        <v>0</v>
      </c>
      <c r="H21" s="29">
        <v>0</v>
      </c>
      <c r="I21" s="29">
        <f>+H21+G21+F21</f>
        <v>4452</v>
      </c>
      <c r="J21" s="87">
        <f t="shared" si="7"/>
        <v>0.31327433628318585</v>
      </c>
      <c r="K21" s="33">
        <f t="shared" si="8"/>
        <v>-1</v>
      </c>
      <c r="L21" s="33">
        <f t="shared" si="9"/>
        <v>0</v>
      </c>
      <c r="M21" s="34">
        <f t="shared" si="10"/>
        <v>-0.6055639230973686</v>
      </c>
      <c r="N21" s="33">
        <f t="shared" si="1"/>
        <v>0.02432985251372591</v>
      </c>
      <c r="O21" s="33">
        <f t="shared" si="2"/>
        <v>1</v>
      </c>
      <c r="P21" s="33">
        <f t="shared" si="3"/>
        <v>0</v>
      </c>
      <c r="Q21" s="34">
        <f t="shared" si="4"/>
        <v>0.07472081274753925</v>
      </c>
      <c r="R21" s="33">
        <f t="shared" si="11"/>
        <v>0.029672482970980685</v>
      </c>
      <c r="S21" s="33">
        <f t="shared" si="12"/>
        <v>0</v>
      </c>
      <c r="T21" s="33">
        <f t="shared" si="13"/>
        <v>0</v>
      </c>
      <c r="U21" s="35">
        <f t="shared" si="14"/>
        <v>0.025899672233361537</v>
      </c>
    </row>
    <row r="22" spans="1:21" s="60" customFormat="1" ht="15.75" customHeight="1">
      <c r="A22" s="28" t="s">
        <v>46</v>
      </c>
      <c r="B22" s="29">
        <v>0</v>
      </c>
      <c r="C22" s="29">
        <v>0</v>
      </c>
      <c r="D22" s="29">
        <v>1551</v>
      </c>
      <c r="E22" s="30">
        <f>+D22+C22+B22</f>
        <v>1551</v>
      </c>
      <c r="F22" s="29">
        <v>0</v>
      </c>
      <c r="G22" s="29">
        <v>0</v>
      </c>
      <c r="H22" s="29">
        <v>1116</v>
      </c>
      <c r="I22" s="29">
        <f>+H22+G22+F22</f>
        <v>1116</v>
      </c>
      <c r="J22" s="87">
        <f t="shared" si="7"/>
        <v>0</v>
      </c>
      <c r="K22" s="33">
        <f t="shared" si="8"/>
        <v>0</v>
      </c>
      <c r="L22" s="33">
        <f t="shared" si="9"/>
        <v>-0.2804642166344294</v>
      </c>
      <c r="M22" s="34">
        <f t="shared" si="10"/>
        <v>-0.2804642166344294</v>
      </c>
      <c r="N22" s="33">
        <f t="shared" si="1"/>
        <v>0</v>
      </c>
      <c r="O22" s="33">
        <f t="shared" si="2"/>
        <v>0</v>
      </c>
      <c r="P22" s="33">
        <f t="shared" si="3"/>
        <v>0.40563469268331453</v>
      </c>
      <c r="Q22" s="34">
        <f t="shared" si="4"/>
        <v>0.010267739928363018</v>
      </c>
      <c r="R22" s="33">
        <f t="shared" si="11"/>
        <v>0</v>
      </c>
      <c r="S22" s="33">
        <f t="shared" si="12"/>
        <v>0</v>
      </c>
      <c r="T22" s="33">
        <f t="shared" si="13"/>
        <v>0.40171814049497606</v>
      </c>
      <c r="U22" s="35">
        <f t="shared" si="14"/>
        <v>0.006492370667662057</v>
      </c>
    </row>
    <row r="23" spans="1:21" s="60" customFormat="1" ht="15.75" customHeight="1" thickBot="1">
      <c r="A23" s="28" t="s">
        <v>37</v>
      </c>
      <c r="B23" s="29">
        <v>36360</v>
      </c>
      <c r="C23" s="29">
        <v>0</v>
      </c>
      <c r="D23" s="29">
        <v>0</v>
      </c>
      <c r="E23" s="30">
        <f>+D23+C23+B23</f>
        <v>36360</v>
      </c>
      <c r="F23" s="29">
        <v>45135</v>
      </c>
      <c r="G23" s="29">
        <v>0</v>
      </c>
      <c r="H23" s="29">
        <v>0</v>
      </c>
      <c r="I23" s="29">
        <f t="shared" si="6"/>
        <v>45135</v>
      </c>
      <c r="J23" s="95">
        <f t="shared" si="7"/>
        <v>0.24133663366336633</v>
      </c>
      <c r="K23" s="89">
        <f t="shared" si="8"/>
        <v>0</v>
      </c>
      <c r="L23" s="89">
        <f t="shared" si="9"/>
        <v>0</v>
      </c>
      <c r="M23" s="34">
        <f t="shared" si="10"/>
        <v>0.24133663366336633</v>
      </c>
      <c r="N23" s="33">
        <f t="shared" si="1"/>
        <v>0.2609538163419098</v>
      </c>
      <c r="O23" s="33">
        <f t="shared" si="2"/>
        <v>0</v>
      </c>
      <c r="P23" s="33">
        <f t="shared" si="3"/>
        <v>0</v>
      </c>
      <c r="Q23" s="34">
        <f t="shared" si="4"/>
        <v>0.24070601147342316</v>
      </c>
      <c r="R23" s="33">
        <f t="shared" si="11"/>
        <v>0.3008237913062024</v>
      </c>
      <c r="S23" s="33">
        <f t="shared" si="12"/>
        <v>0</v>
      </c>
      <c r="T23" s="33">
        <f t="shared" si="13"/>
        <v>0</v>
      </c>
      <c r="U23" s="35">
        <f t="shared" si="14"/>
        <v>0.26257450724455816</v>
      </c>
    </row>
    <row r="24" spans="1:21" ht="15.75" customHeight="1" thickBot="1">
      <c r="A24" s="14" t="s">
        <v>15</v>
      </c>
      <c r="B24" s="15">
        <f aca="true" t="shared" si="15" ref="B24:I24">SUM(B11:B23)</f>
        <v>139335</v>
      </c>
      <c r="C24" s="15">
        <f t="shared" si="15"/>
        <v>7897</v>
      </c>
      <c r="D24" s="15">
        <f t="shared" si="15"/>
        <v>3823.63744516027</v>
      </c>
      <c r="E24" s="16">
        <f t="shared" si="15"/>
        <v>151055.63744516028</v>
      </c>
      <c r="F24" s="15">
        <f t="shared" si="15"/>
        <v>150038</v>
      </c>
      <c r="G24" s="15">
        <f t="shared" si="15"/>
        <v>19078</v>
      </c>
      <c r="H24" s="15">
        <f t="shared" si="15"/>
        <v>2778.067225505234</v>
      </c>
      <c r="I24" s="15">
        <f t="shared" si="15"/>
        <v>171894.06722550525</v>
      </c>
      <c r="J24" s="96">
        <f>IF(+B24&gt;0,(+F24-B24)/B24,0)</f>
        <v>0.07681487063551871</v>
      </c>
      <c r="K24" s="97">
        <f>IF(+C24&gt;0,(+G24-C24)/C24,0)</f>
        <v>1.415854121818412</v>
      </c>
      <c r="L24" s="97">
        <f>IF(+D24&gt;0,(+H24-D24)/D24,0)</f>
        <v>-0.2734491004052845</v>
      </c>
      <c r="M24" s="94">
        <f t="shared" si="10"/>
        <v>0.13795201644102972</v>
      </c>
      <c r="N24" s="18">
        <f aca="true" t="shared" si="16" ref="N24:U24">SUM(N11:N23)</f>
        <v>1</v>
      </c>
      <c r="O24" s="18">
        <f t="shared" si="16"/>
        <v>1</v>
      </c>
      <c r="P24" s="18">
        <f t="shared" si="16"/>
        <v>1</v>
      </c>
      <c r="Q24" s="19">
        <f t="shared" si="16"/>
        <v>1</v>
      </c>
      <c r="R24" s="18">
        <f t="shared" si="16"/>
        <v>1</v>
      </c>
      <c r="S24" s="18">
        <f t="shared" si="16"/>
        <v>1</v>
      </c>
      <c r="T24" s="18">
        <f t="shared" si="16"/>
        <v>1</v>
      </c>
      <c r="U24" s="21">
        <f t="shared" si="16"/>
        <v>0.9999999999999998</v>
      </c>
    </row>
    <row r="25" spans="1:21" ht="18" customHeight="1">
      <c r="A25" s="1" t="s">
        <v>78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>
      <c r="A26" s="2" t="str">
        <f>+'usord '!A35</f>
        <v>Canadian Exchange Rate Used: 2007 = 1.01204 and 2008 = 0.818438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>
      <c r="A27" s="1" t="s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>
      <c r="A28" s="1" t="s">
        <v>1</v>
      </c>
      <c r="B28" s="3">
        <f>+B2</f>
        <v>39912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>
      <c r="A30" s="1"/>
      <c r="B30" s="1"/>
      <c r="C30" s="4" t="s">
        <v>70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</row>
    <row r="33" spans="1:21" ht="15.75" customHeight="1">
      <c r="A33" s="41"/>
      <c r="B33" s="42"/>
      <c r="C33" s="42"/>
      <c r="D33" s="42" t="s">
        <v>33</v>
      </c>
      <c r="E33" s="42"/>
      <c r="F33" s="42"/>
      <c r="G33" s="42"/>
      <c r="H33" s="42"/>
      <c r="I33" s="42"/>
      <c r="J33" s="108" t="s">
        <v>62</v>
      </c>
      <c r="K33" s="109"/>
      <c r="L33" s="109"/>
      <c r="M33" s="110"/>
      <c r="N33" s="42"/>
      <c r="O33" s="42"/>
      <c r="P33" s="42" t="s">
        <v>9</v>
      </c>
      <c r="Q33" s="42"/>
      <c r="R33" s="42"/>
      <c r="S33" s="42"/>
      <c r="T33" s="42"/>
      <c r="U33" s="44"/>
    </row>
    <row r="34" spans="1:21" ht="15.75" customHeight="1">
      <c r="A34" s="45"/>
      <c r="B34" s="42"/>
      <c r="C34" s="42">
        <f>+C8</f>
        <v>2007</v>
      </c>
      <c r="D34" s="42"/>
      <c r="E34" s="46"/>
      <c r="F34" s="42"/>
      <c r="G34" s="42">
        <f>+G8</f>
        <v>2008</v>
      </c>
      <c r="H34" s="42"/>
      <c r="I34" s="46"/>
      <c r="J34" s="42"/>
      <c r="K34" s="42"/>
      <c r="L34" s="42"/>
      <c r="M34" s="86" t="s">
        <v>25</v>
      </c>
      <c r="N34" s="42"/>
      <c r="O34" s="42">
        <f>+C34</f>
        <v>2007</v>
      </c>
      <c r="P34" s="56"/>
      <c r="Q34" s="46"/>
      <c r="R34" s="42"/>
      <c r="S34" s="42">
        <f>+G34</f>
        <v>2008</v>
      </c>
      <c r="T34" s="42"/>
      <c r="U34" s="44"/>
    </row>
    <row r="35" spans="1:21" ht="15.75" customHeight="1" thickBot="1">
      <c r="A35" s="48" t="s">
        <v>2</v>
      </c>
      <c r="B35" s="51" t="s">
        <v>3</v>
      </c>
      <c r="C35" s="51" t="s">
        <v>4</v>
      </c>
      <c r="D35" s="51" t="s">
        <v>5</v>
      </c>
      <c r="E35" s="52" t="s">
        <v>6</v>
      </c>
      <c r="F35" s="51" t="s">
        <v>3</v>
      </c>
      <c r="G35" s="51" t="s">
        <v>4</v>
      </c>
      <c r="H35" s="51" t="s">
        <v>5</v>
      </c>
      <c r="I35" s="52" t="s">
        <v>6</v>
      </c>
      <c r="J35" s="51" t="s">
        <v>3</v>
      </c>
      <c r="K35" s="51" t="s">
        <v>4</v>
      </c>
      <c r="L35" s="51" t="s">
        <v>5</v>
      </c>
      <c r="M35" s="52" t="s">
        <v>6</v>
      </c>
      <c r="N35" s="51" t="s">
        <v>3</v>
      </c>
      <c r="O35" s="51" t="s">
        <v>4</v>
      </c>
      <c r="P35" s="51" t="s">
        <v>5</v>
      </c>
      <c r="Q35" s="52" t="s">
        <v>6</v>
      </c>
      <c r="R35" s="51" t="s">
        <v>3</v>
      </c>
      <c r="S35" s="51" t="s">
        <v>4</v>
      </c>
      <c r="T35" s="51" t="s">
        <v>5</v>
      </c>
      <c r="U35" s="54" t="s">
        <v>6</v>
      </c>
    </row>
    <row r="36" spans="1:21" s="60" customFormat="1" ht="15.75" customHeight="1" thickTop="1">
      <c r="A36" s="28"/>
      <c r="B36" s="61"/>
      <c r="C36" s="61"/>
      <c r="D36" s="61"/>
      <c r="E36" s="62"/>
      <c r="F36" s="61"/>
      <c r="G36" s="61"/>
      <c r="H36" s="61"/>
      <c r="I36" s="62"/>
      <c r="J36" s="61"/>
      <c r="K36" s="88"/>
      <c r="L36" s="88"/>
      <c r="M36" s="62"/>
      <c r="N36" s="61"/>
      <c r="O36" s="61"/>
      <c r="P36" s="61"/>
      <c r="Q36" s="62"/>
      <c r="R36" s="61"/>
      <c r="S36" s="61"/>
      <c r="T36" s="61"/>
      <c r="U36" s="63"/>
    </row>
    <row r="37" spans="1:21" s="60" customFormat="1" ht="15.75" customHeight="1">
      <c r="A37" s="28" t="str">
        <f aca="true" t="shared" si="17" ref="A37:A49">+A11</f>
        <v>Aurigen</v>
      </c>
      <c r="B37" s="29">
        <v>0</v>
      </c>
      <c r="C37" s="29">
        <v>0</v>
      </c>
      <c r="D37" s="29">
        <v>0</v>
      </c>
      <c r="E37" s="30">
        <f aca="true" t="shared" si="18" ref="E37:E49">+D37+C37+B37</f>
        <v>0</v>
      </c>
      <c r="F37" s="29">
        <v>30</v>
      </c>
      <c r="G37" s="29">
        <v>19078</v>
      </c>
      <c r="H37" s="29">
        <v>0</v>
      </c>
      <c r="I37" s="30">
        <f>+H37+G37+F37</f>
        <v>19108</v>
      </c>
      <c r="J37" s="87">
        <f aca="true" t="shared" si="19" ref="J37:M39">IF(+B37&gt;0,(+F37-B37)/B37,0)</f>
        <v>0</v>
      </c>
      <c r="K37" s="33">
        <f t="shared" si="19"/>
        <v>0</v>
      </c>
      <c r="L37" s="33">
        <f t="shared" si="19"/>
        <v>0</v>
      </c>
      <c r="M37" s="34">
        <f t="shared" si="19"/>
        <v>0</v>
      </c>
      <c r="N37" s="33">
        <f aca="true" t="shared" si="20" ref="N37:N49">+B37/$B$50</f>
        <v>0</v>
      </c>
      <c r="O37" s="33">
        <f aca="true" t="shared" si="21" ref="O37:O49">+C37/$C$50</f>
        <v>0</v>
      </c>
      <c r="P37" s="33">
        <f aca="true" t="shared" si="22" ref="P37:P49">+D37/$D$50</f>
        <v>0</v>
      </c>
      <c r="Q37" s="34">
        <f aca="true" t="shared" si="23" ref="Q37:Q49">+E37/$E$50</f>
        <v>0</v>
      </c>
      <c r="R37" s="33">
        <f>+F37/$F$50</f>
        <v>2.9473109226360355E-05</v>
      </c>
      <c r="S37" s="33">
        <f>+G37/$G$50</f>
        <v>0.9799167907956238</v>
      </c>
      <c r="T37" s="33">
        <f>+H37/$H$50</f>
        <v>0</v>
      </c>
      <c r="U37" s="35">
        <f>+I37/$I$50</f>
        <v>0.017809837468059544</v>
      </c>
    </row>
    <row r="38" spans="1:21" s="60" customFormat="1" ht="15.75" customHeight="1">
      <c r="A38" s="28" t="str">
        <f t="shared" si="17"/>
        <v>AXA Equitable</v>
      </c>
      <c r="B38" s="29">
        <v>0</v>
      </c>
      <c r="C38" s="29">
        <v>0</v>
      </c>
      <c r="D38" s="29">
        <f>2939/1.01204</f>
        <v>2904.035413620015</v>
      </c>
      <c r="E38" s="30">
        <f>+D38+C38+B38</f>
        <v>2904.035413620015</v>
      </c>
      <c r="F38" s="29">
        <v>0</v>
      </c>
      <c r="G38" s="29">
        <v>0</v>
      </c>
      <c r="H38" s="29">
        <f>2982/0.818438</f>
        <v>3643.5258382430925</v>
      </c>
      <c r="I38" s="30">
        <f>+H38+G38+F38</f>
        <v>3643.5258382430925</v>
      </c>
      <c r="J38" s="87">
        <f>IF(+B38&gt;0,(+F38-B38)/B38,0)</f>
        <v>0</v>
      </c>
      <c r="K38" s="33">
        <f>IF(+C38&gt;0,(+G38-C38)/C38,0)</f>
        <v>0</v>
      </c>
      <c r="L38" s="33">
        <f>IF(+D38&gt;0,(+H38-D38)/D38,0)</f>
        <v>0.25464235771879534</v>
      </c>
      <c r="M38" s="34">
        <f>IF(+E38&gt;0,(+I38-E38)/E38,0)</f>
        <v>0.25464235771879534</v>
      </c>
      <c r="N38" s="33">
        <f t="shared" si="20"/>
        <v>0</v>
      </c>
      <c r="O38" s="33">
        <f t="shared" si="21"/>
        <v>0</v>
      </c>
      <c r="P38" s="33">
        <f t="shared" si="22"/>
        <v>0.08227564478658571</v>
      </c>
      <c r="Q38" s="34">
        <f t="shared" si="23"/>
        <v>0.0027997845656486326</v>
      </c>
      <c r="R38" s="33">
        <f>+F38/$F$50</f>
        <v>0</v>
      </c>
      <c r="S38" s="33">
        <f>+G38/$G$50</f>
        <v>0</v>
      </c>
      <c r="T38" s="33">
        <f>+H38/$H$50</f>
        <v>0.10250691579459079</v>
      </c>
      <c r="U38" s="35">
        <f>+I38/$I$50</f>
        <v>0.0033959913643387524</v>
      </c>
    </row>
    <row r="39" spans="1:21" s="60" customFormat="1" ht="15.75" customHeight="1">
      <c r="A39" s="28" t="str">
        <f t="shared" si="17"/>
        <v>Canada Life</v>
      </c>
      <c r="B39" s="29">
        <v>1664</v>
      </c>
      <c r="C39" s="29">
        <v>0</v>
      </c>
      <c r="D39" s="29">
        <v>0</v>
      </c>
      <c r="E39" s="30">
        <f t="shared" si="18"/>
        <v>1664</v>
      </c>
      <c r="F39" s="29">
        <v>1566</v>
      </c>
      <c r="G39" s="29">
        <v>0</v>
      </c>
      <c r="H39" s="29">
        <v>0</v>
      </c>
      <c r="I39" s="30">
        <f>+H39+G39+F39</f>
        <v>1566</v>
      </c>
      <c r="J39" s="87">
        <f t="shared" si="19"/>
        <v>-0.05889423076923077</v>
      </c>
      <c r="K39" s="33">
        <f t="shared" si="19"/>
        <v>0</v>
      </c>
      <c r="L39" s="33">
        <f t="shared" si="19"/>
        <v>0</v>
      </c>
      <c r="M39" s="34">
        <f t="shared" si="19"/>
        <v>-0.05889423076923077</v>
      </c>
      <c r="N39" s="33">
        <f t="shared" si="20"/>
        <v>0.001661464780406863</v>
      </c>
      <c r="O39" s="33">
        <f t="shared" si="21"/>
        <v>0</v>
      </c>
      <c r="P39" s="33">
        <f t="shared" si="22"/>
        <v>0</v>
      </c>
      <c r="Q39" s="34">
        <f t="shared" si="23"/>
        <v>0.0016042647053783213</v>
      </c>
      <c r="R39" s="33">
        <f>+F39/$F$50</f>
        <v>0.0015384963016160107</v>
      </c>
      <c r="S39" s="33">
        <f>+G39/$G$50</f>
        <v>0</v>
      </c>
      <c r="T39" s="33">
        <f>+H39/$H$50</f>
        <v>0</v>
      </c>
      <c r="U39" s="35">
        <f>+I39/$I$50</f>
        <v>0.0014596088274534877</v>
      </c>
    </row>
    <row r="40" spans="1:21" s="60" customFormat="1" ht="15.75" customHeight="1">
      <c r="A40" s="28" t="str">
        <f t="shared" si="17"/>
        <v>Employers Re Corp.</v>
      </c>
      <c r="B40" s="29">
        <v>70070</v>
      </c>
      <c r="C40" s="29">
        <v>0</v>
      </c>
      <c r="D40" s="29">
        <v>0</v>
      </c>
      <c r="E40" s="30">
        <f t="shared" si="18"/>
        <v>70070</v>
      </c>
      <c r="F40" s="104" t="s">
        <v>77</v>
      </c>
      <c r="G40" s="104" t="s">
        <v>77</v>
      </c>
      <c r="H40" s="104" t="s">
        <v>77</v>
      </c>
      <c r="I40" s="104" t="s">
        <v>77</v>
      </c>
      <c r="J40" s="87">
        <v>0</v>
      </c>
      <c r="K40" s="33">
        <f aca="true" t="shared" si="24" ref="J40:M50">IF(+C40&gt;0,(+G40-C40)/C40,0)</f>
        <v>0</v>
      </c>
      <c r="L40" s="33">
        <f t="shared" si="24"/>
        <v>0</v>
      </c>
      <c r="M40" s="34">
        <v>0</v>
      </c>
      <c r="N40" s="33">
        <f t="shared" si="20"/>
        <v>0.06996324348744525</v>
      </c>
      <c r="O40" s="33">
        <f t="shared" si="21"/>
        <v>0</v>
      </c>
      <c r="P40" s="33">
        <f t="shared" si="22"/>
        <v>0</v>
      </c>
      <c r="Q40" s="34">
        <f t="shared" si="23"/>
        <v>0.06755458407804024</v>
      </c>
      <c r="R40" s="33">
        <v>0</v>
      </c>
      <c r="S40" s="33">
        <v>0</v>
      </c>
      <c r="T40" s="33">
        <v>0</v>
      </c>
      <c r="U40" s="35">
        <v>0</v>
      </c>
    </row>
    <row r="41" spans="1:21" s="60" customFormat="1" ht="15.75" customHeight="1">
      <c r="A41" s="28" t="str">
        <f t="shared" si="17"/>
        <v>General Re Life</v>
      </c>
      <c r="B41" s="29">
        <f>177*(1/1.01204)</f>
        <v>174.89427295363816</v>
      </c>
      <c r="C41" s="29">
        <v>0</v>
      </c>
      <c r="D41" s="29">
        <v>0</v>
      </c>
      <c r="E41" s="30">
        <f t="shared" si="18"/>
        <v>174.89427295363816</v>
      </c>
      <c r="F41" s="29">
        <v>175</v>
      </c>
      <c r="G41" s="29">
        <v>0</v>
      </c>
      <c r="H41" s="29">
        <v>0</v>
      </c>
      <c r="I41" s="30">
        <f aca="true" t="shared" si="25" ref="I41:I49">+H41+G41+F41</f>
        <v>175</v>
      </c>
      <c r="J41" s="87">
        <f>IF(+B41&gt;0,(+F41-B41)/B41,0)</f>
        <v>0.0006045197740114784</v>
      </c>
      <c r="K41" s="33">
        <f>IF(+C41&gt;0,(+G41-C41)/C41,0)</f>
        <v>0</v>
      </c>
      <c r="L41" s="33">
        <f>IF(+D41&gt;0,(+H41-D41)/D41,0)</f>
        <v>0</v>
      </c>
      <c r="M41" s="34">
        <f>IF(+E41&gt;0,(+I41-E41)/E41,0)</f>
        <v>0.0006045197740114784</v>
      </c>
      <c r="N41" s="33">
        <f t="shared" si="20"/>
        <v>0.0001746278093794077</v>
      </c>
      <c r="O41" s="33">
        <f t="shared" si="21"/>
        <v>0</v>
      </c>
      <c r="P41" s="33">
        <f t="shared" si="22"/>
        <v>0</v>
      </c>
      <c r="Q41" s="34">
        <f t="shared" si="23"/>
        <v>0.00016861581086077165</v>
      </c>
      <c r="R41" s="33">
        <f aca="true" t="shared" si="26" ref="R41:R49">+F41/$F$50</f>
        <v>0.00017192647048710208</v>
      </c>
      <c r="S41" s="33">
        <f aca="true" t="shared" si="27" ref="S41:S49">+G41/$G$50</f>
        <v>0</v>
      </c>
      <c r="T41" s="33">
        <f aca="true" t="shared" si="28" ref="T41:T49">+H41/$H$50</f>
        <v>0</v>
      </c>
      <c r="U41" s="35">
        <f aca="true" t="shared" si="29" ref="U41:U49">+I41/$I$50</f>
        <v>0.00016311082043701173</v>
      </c>
    </row>
    <row r="42" spans="1:21" s="60" customFormat="1" ht="15.75" customHeight="1">
      <c r="A42" s="28" t="str">
        <f t="shared" si="17"/>
        <v>Manufacturers Life</v>
      </c>
      <c r="B42" s="29">
        <v>0</v>
      </c>
      <c r="C42" s="29">
        <v>0</v>
      </c>
      <c r="D42" s="29">
        <f>11731/1.01204</f>
        <v>11591.439073554404</v>
      </c>
      <c r="E42" s="30">
        <f t="shared" si="18"/>
        <v>11591.439073554404</v>
      </c>
      <c r="F42" s="29">
        <v>0</v>
      </c>
      <c r="G42" s="29">
        <v>0</v>
      </c>
      <c r="H42" s="29">
        <f>8816/0.818438</f>
        <v>10771.738360144567</v>
      </c>
      <c r="I42" s="30">
        <f t="shared" si="25"/>
        <v>10771.738360144567</v>
      </c>
      <c r="J42" s="87">
        <f t="shared" si="24"/>
        <v>0</v>
      </c>
      <c r="K42" s="33">
        <f t="shared" si="24"/>
        <v>0</v>
      </c>
      <c r="L42" s="33">
        <f t="shared" si="24"/>
        <v>-0.07071604381547107</v>
      </c>
      <c r="M42" s="34">
        <f t="shared" si="24"/>
        <v>-0.07071604381547107</v>
      </c>
      <c r="N42" s="33">
        <f t="shared" si="20"/>
        <v>0</v>
      </c>
      <c r="O42" s="33">
        <f t="shared" si="21"/>
        <v>0</v>
      </c>
      <c r="P42" s="33">
        <f t="shared" si="22"/>
        <v>0.3284027182686073</v>
      </c>
      <c r="Q42" s="34">
        <f t="shared" si="23"/>
        <v>0.01117532247010007</v>
      </c>
      <c r="R42" s="33">
        <f t="shared" si="26"/>
        <v>0</v>
      </c>
      <c r="S42" s="33">
        <f t="shared" si="27"/>
        <v>0</v>
      </c>
      <c r="T42" s="33">
        <f t="shared" si="28"/>
        <v>0.3030519683585219</v>
      </c>
      <c r="U42" s="35">
        <f t="shared" si="29"/>
        <v>0.010039926179748637</v>
      </c>
    </row>
    <row r="43" spans="1:21" s="60" customFormat="1" ht="15.75" customHeight="1">
      <c r="A43" s="28" t="str">
        <f t="shared" si="17"/>
        <v>Munich Re (Canada)</v>
      </c>
      <c r="B43" s="29">
        <v>381745</v>
      </c>
      <c r="C43" s="29">
        <v>0</v>
      </c>
      <c r="D43" s="29">
        <v>1</v>
      </c>
      <c r="E43" s="30">
        <f t="shared" si="18"/>
        <v>381746</v>
      </c>
      <c r="F43" s="29">
        <v>396816</v>
      </c>
      <c r="G43" s="29">
        <v>0</v>
      </c>
      <c r="H43" s="29">
        <v>1</v>
      </c>
      <c r="I43" s="30">
        <f t="shared" si="25"/>
        <v>396817</v>
      </c>
      <c r="J43" s="87">
        <f t="shared" si="24"/>
        <v>0.039479233519757954</v>
      </c>
      <c r="K43" s="33">
        <f t="shared" si="24"/>
        <v>0</v>
      </c>
      <c r="L43" s="33">
        <f t="shared" si="24"/>
        <v>0</v>
      </c>
      <c r="M43" s="34">
        <f t="shared" si="24"/>
        <v>0.039479130102214564</v>
      </c>
      <c r="N43" s="33">
        <f t="shared" si="20"/>
        <v>0.38116338497380886</v>
      </c>
      <c r="O43" s="33">
        <f t="shared" si="21"/>
        <v>0</v>
      </c>
      <c r="P43" s="33">
        <f t="shared" si="22"/>
        <v>2.833148810813753E-05</v>
      </c>
      <c r="Q43" s="34">
        <f t="shared" si="23"/>
        <v>0.3680418474875917</v>
      </c>
      <c r="R43" s="33">
        <f t="shared" si="26"/>
        <v>0.3898467103589137</v>
      </c>
      <c r="S43" s="33">
        <f t="shared" si="27"/>
        <v>0</v>
      </c>
      <c r="T43" s="33">
        <f t="shared" si="28"/>
        <v>2.813398898359936E-05</v>
      </c>
      <c r="U43" s="35">
        <f t="shared" si="29"/>
        <v>0.3698579796191639</v>
      </c>
    </row>
    <row r="44" spans="1:21" s="60" customFormat="1" ht="15.75" customHeight="1">
      <c r="A44" s="28" t="str">
        <f t="shared" si="17"/>
        <v>Optimum Re (Canada)</v>
      </c>
      <c r="B44" s="29">
        <v>25976</v>
      </c>
      <c r="C44" s="29">
        <v>413</v>
      </c>
      <c r="D44" s="29">
        <v>0</v>
      </c>
      <c r="E44" s="30">
        <f t="shared" si="18"/>
        <v>26389</v>
      </c>
      <c r="F44" s="29">
        <v>28522</v>
      </c>
      <c r="G44" s="29">
        <v>391</v>
      </c>
      <c r="H44" s="29">
        <v>0</v>
      </c>
      <c r="I44" s="30">
        <f t="shared" si="25"/>
        <v>28913</v>
      </c>
      <c r="J44" s="87">
        <f t="shared" si="24"/>
        <v>0.09801355097012628</v>
      </c>
      <c r="K44" s="33">
        <f t="shared" si="24"/>
        <v>-0.053268765133171914</v>
      </c>
      <c r="L44" s="33">
        <f t="shared" si="24"/>
        <v>0</v>
      </c>
      <c r="M44" s="34">
        <f t="shared" si="24"/>
        <v>0.0956459130698397</v>
      </c>
      <c r="N44" s="33">
        <f t="shared" si="20"/>
        <v>0.025936423759524443</v>
      </c>
      <c r="O44" s="33">
        <f t="shared" si="21"/>
        <v>1</v>
      </c>
      <c r="P44" s="33">
        <f t="shared" si="22"/>
        <v>0</v>
      </c>
      <c r="Q44" s="34">
        <f t="shared" si="23"/>
        <v>0.02544167146047387</v>
      </c>
      <c r="R44" s="33">
        <f t="shared" si="26"/>
        <v>0.028021067378475</v>
      </c>
      <c r="S44" s="33">
        <f t="shared" si="27"/>
        <v>0.020083209204376187</v>
      </c>
      <c r="T44" s="33">
        <f t="shared" si="28"/>
        <v>0</v>
      </c>
      <c r="U44" s="35">
        <f t="shared" si="29"/>
        <v>0.026948703721687544</v>
      </c>
    </row>
    <row r="45" spans="1:21" s="60" customFormat="1" ht="15.75" customHeight="1">
      <c r="A45" s="28" t="str">
        <f t="shared" si="17"/>
        <v>Pacific Life</v>
      </c>
      <c r="B45" s="29">
        <v>0</v>
      </c>
      <c r="C45" s="29">
        <v>0</v>
      </c>
      <c r="D45" s="29">
        <f>173/1.01204</f>
        <v>170.94186000553336</v>
      </c>
      <c r="E45" s="30">
        <f>+D45+C45+B45</f>
        <v>170.94186000553336</v>
      </c>
      <c r="F45" s="29">
        <v>0</v>
      </c>
      <c r="G45" s="29">
        <v>0</v>
      </c>
      <c r="H45" s="29">
        <f>180/0.818438</f>
        <v>219.93113711728927</v>
      </c>
      <c r="I45" s="30">
        <f t="shared" si="25"/>
        <v>219.93113711728927</v>
      </c>
      <c r="J45" s="87">
        <f>IF(+B45&gt;0,(+F45-B45)/B45,0)</f>
        <v>0</v>
      </c>
      <c r="K45" s="33">
        <f>IF(+C45&gt;0,(+G45-C45)/C45,0)</f>
        <v>0</v>
      </c>
      <c r="L45" s="33">
        <f>IF(+D45&gt;0,(+H45-D45)/D45,0)</f>
        <v>0.28658443935365</v>
      </c>
      <c r="M45" s="34">
        <f>IF(+E45&gt;0,(+I45-E45)/E45,0)</f>
        <v>0.28658443935365</v>
      </c>
      <c r="N45" s="33">
        <f t="shared" si="20"/>
        <v>0</v>
      </c>
      <c r="O45" s="33">
        <f t="shared" si="21"/>
        <v>0</v>
      </c>
      <c r="P45" s="33">
        <f t="shared" si="22"/>
        <v>0.004843037273929679</v>
      </c>
      <c r="Q45" s="34">
        <f t="shared" si="23"/>
        <v>0.00016480528406165817</v>
      </c>
      <c r="R45" s="33">
        <f t="shared" si="26"/>
        <v>0</v>
      </c>
      <c r="S45" s="33">
        <f t="shared" si="27"/>
        <v>0</v>
      </c>
      <c r="T45" s="33">
        <f t="shared" si="28"/>
        <v>0.006187540188808297</v>
      </c>
      <c r="U45" s="35">
        <f t="shared" si="29"/>
        <v>0.00020498941837054842</v>
      </c>
    </row>
    <row r="46" spans="1:21" s="60" customFormat="1" ht="15.75" customHeight="1">
      <c r="A46" s="28" t="str">
        <f t="shared" si="17"/>
        <v>RGA Re (Canada)</v>
      </c>
      <c r="B46" s="29">
        <v>211259</v>
      </c>
      <c r="C46" s="29">
        <v>0</v>
      </c>
      <c r="D46" s="29">
        <v>3432</v>
      </c>
      <c r="E46" s="30">
        <f t="shared" si="18"/>
        <v>214691</v>
      </c>
      <c r="F46" s="29">
        <v>249328</v>
      </c>
      <c r="G46" s="29">
        <v>0</v>
      </c>
      <c r="H46" s="29">
        <v>3370</v>
      </c>
      <c r="I46" s="30">
        <f t="shared" si="25"/>
        <v>252698</v>
      </c>
      <c r="J46" s="87">
        <f t="shared" si="24"/>
        <v>0.18020060683805186</v>
      </c>
      <c r="K46" s="33">
        <f t="shared" si="24"/>
        <v>0</v>
      </c>
      <c r="L46" s="33">
        <f t="shared" si="24"/>
        <v>-0.018065268065268064</v>
      </c>
      <c r="M46" s="34">
        <f t="shared" si="24"/>
        <v>0.1770311750376122</v>
      </c>
      <c r="N46" s="33">
        <f t="shared" si="20"/>
        <v>0.21093713223796484</v>
      </c>
      <c r="O46" s="33">
        <f t="shared" si="21"/>
        <v>0</v>
      </c>
      <c r="P46" s="33">
        <f t="shared" si="22"/>
        <v>0.097233667187128</v>
      </c>
      <c r="Q46" s="34">
        <f t="shared" si="23"/>
        <v>0.20698389054229396</v>
      </c>
      <c r="R46" s="33">
        <f t="shared" si="26"/>
        <v>0.24494904590633249</v>
      </c>
      <c r="S46" s="33">
        <f t="shared" si="27"/>
        <v>0</v>
      </c>
      <c r="T46" s="33">
        <f t="shared" si="28"/>
        <v>0.09481154287472984</v>
      </c>
      <c r="U46" s="35">
        <f t="shared" si="29"/>
        <v>0.2355301605873828</v>
      </c>
    </row>
    <row r="47" spans="1:21" s="60" customFormat="1" ht="15.75" customHeight="1">
      <c r="A47" s="28" t="str">
        <f t="shared" si="17"/>
        <v>SCOR Global Life (Canada)</v>
      </c>
      <c r="B47" s="29">
        <v>16794</v>
      </c>
      <c r="C47" s="29">
        <v>0</v>
      </c>
      <c r="D47" s="29">
        <v>0</v>
      </c>
      <c r="E47" s="30">
        <f t="shared" si="18"/>
        <v>16794</v>
      </c>
      <c r="F47" s="29">
        <v>21062</v>
      </c>
      <c r="G47" s="29">
        <v>0</v>
      </c>
      <c r="H47" s="29">
        <v>0</v>
      </c>
      <c r="I47" s="30">
        <f t="shared" si="25"/>
        <v>21062</v>
      </c>
      <c r="J47" s="87">
        <f aca="true" t="shared" si="30" ref="J47:M49">IF(+B47&gt;0,(+F47-B47)/B47,0)</f>
        <v>0.2541383827557461</v>
      </c>
      <c r="K47" s="33">
        <f t="shared" si="30"/>
        <v>0</v>
      </c>
      <c r="L47" s="33">
        <f t="shared" si="30"/>
        <v>0</v>
      </c>
      <c r="M47" s="34">
        <f t="shared" si="30"/>
        <v>0.2541383827557461</v>
      </c>
      <c r="N47" s="33">
        <f t="shared" si="20"/>
        <v>0.016768413174370708</v>
      </c>
      <c r="O47" s="33">
        <f t="shared" si="21"/>
        <v>0</v>
      </c>
      <c r="P47" s="33">
        <f t="shared" si="22"/>
        <v>0</v>
      </c>
      <c r="Q47" s="34">
        <f t="shared" si="23"/>
        <v>0.01619111866714154</v>
      </c>
      <c r="R47" s="33">
        <f t="shared" si="26"/>
        <v>0.020692087550853396</v>
      </c>
      <c r="S47" s="33">
        <f t="shared" si="27"/>
        <v>0</v>
      </c>
      <c r="T47" s="33">
        <f t="shared" si="28"/>
        <v>0</v>
      </c>
      <c r="U47" s="35">
        <f t="shared" si="29"/>
        <v>0.01963108628596766</v>
      </c>
    </row>
    <row r="48" spans="1:21" s="60" customFormat="1" ht="15.75" customHeight="1">
      <c r="A48" s="28" t="str">
        <f t="shared" si="17"/>
        <v>Sun Life </v>
      </c>
      <c r="B48" s="29">
        <v>0</v>
      </c>
      <c r="C48" s="29">
        <v>0</v>
      </c>
      <c r="D48" s="29">
        <v>17197</v>
      </c>
      <c r="E48" s="30">
        <f t="shared" si="18"/>
        <v>17197</v>
      </c>
      <c r="F48" s="29">
        <v>0</v>
      </c>
      <c r="G48" s="29">
        <v>0</v>
      </c>
      <c r="H48" s="29">
        <v>17538</v>
      </c>
      <c r="I48" s="30">
        <f t="shared" si="25"/>
        <v>17538</v>
      </c>
      <c r="J48" s="87">
        <f t="shared" si="30"/>
        <v>0</v>
      </c>
      <c r="K48" s="33">
        <f t="shared" si="30"/>
        <v>0</v>
      </c>
      <c r="L48" s="33">
        <f t="shared" si="30"/>
        <v>0.019829039948828283</v>
      </c>
      <c r="M48" s="34">
        <f t="shared" si="30"/>
        <v>0.019829039948828283</v>
      </c>
      <c r="N48" s="33">
        <f t="shared" si="20"/>
        <v>0</v>
      </c>
      <c r="O48" s="33">
        <f t="shared" si="21"/>
        <v>0</v>
      </c>
      <c r="P48" s="33">
        <f t="shared" si="22"/>
        <v>0.4872166009956411</v>
      </c>
      <c r="Q48" s="34">
        <f t="shared" si="23"/>
        <v>0.016579651525475355</v>
      </c>
      <c r="R48" s="33">
        <f t="shared" si="26"/>
        <v>0</v>
      </c>
      <c r="S48" s="33">
        <f t="shared" si="27"/>
        <v>0</v>
      </c>
      <c r="T48" s="33">
        <f t="shared" si="28"/>
        <v>0.4934138987943656</v>
      </c>
      <c r="U48" s="35">
        <f t="shared" si="29"/>
        <v>0.016346500393281782</v>
      </c>
    </row>
    <row r="49" spans="1:21" s="60" customFormat="1" ht="15.75" customHeight="1" thickBot="1">
      <c r="A49" s="28" t="str">
        <f t="shared" si="17"/>
        <v>Swiss Re </v>
      </c>
      <c r="B49" s="29">
        <v>293843</v>
      </c>
      <c r="C49" s="29">
        <v>0</v>
      </c>
      <c r="D49" s="29">
        <v>0</v>
      </c>
      <c r="E49" s="30">
        <f t="shared" si="18"/>
        <v>293843</v>
      </c>
      <c r="F49" s="29">
        <v>320378</v>
      </c>
      <c r="G49" s="29">
        <v>0</v>
      </c>
      <c r="H49" s="29">
        <v>0</v>
      </c>
      <c r="I49" s="30">
        <f t="shared" si="25"/>
        <v>320378</v>
      </c>
      <c r="J49" s="87">
        <f t="shared" si="30"/>
        <v>0.09030332524511389</v>
      </c>
      <c r="K49" s="89">
        <f t="shared" si="30"/>
        <v>0</v>
      </c>
      <c r="L49" s="89">
        <f t="shared" si="30"/>
        <v>0</v>
      </c>
      <c r="M49" s="34">
        <f t="shared" si="30"/>
        <v>0.09030332524511389</v>
      </c>
      <c r="N49" s="33">
        <f t="shared" si="20"/>
        <v>0.29339530977709966</v>
      </c>
      <c r="O49" s="33">
        <f t="shared" si="21"/>
        <v>0</v>
      </c>
      <c r="P49" s="33">
        <f t="shared" si="22"/>
        <v>0</v>
      </c>
      <c r="Q49" s="34">
        <f t="shared" si="23"/>
        <v>0.2832944434029339</v>
      </c>
      <c r="R49" s="33">
        <f t="shared" si="26"/>
        <v>0.3147511929240959</v>
      </c>
      <c r="S49" s="33">
        <f t="shared" si="27"/>
        <v>0</v>
      </c>
      <c r="T49" s="33">
        <f t="shared" si="28"/>
        <v>0</v>
      </c>
      <c r="U49" s="35">
        <f t="shared" si="29"/>
        <v>0.29861210531410826</v>
      </c>
    </row>
    <row r="50" spans="1:21" ht="15.75" customHeight="1" thickBot="1">
      <c r="A50" s="14" t="s">
        <v>15</v>
      </c>
      <c r="B50" s="15">
        <f aca="true" t="shared" si="31" ref="B50:I50">SUM(B37:B49)</f>
        <v>1001525.8942729536</v>
      </c>
      <c r="C50" s="15">
        <f t="shared" si="31"/>
        <v>413</v>
      </c>
      <c r="D50" s="15">
        <f t="shared" si="31"/>
        <v>35296.416347179955</v>
      </c>
      <c r="E50" s="16">
        <f t="shared" si="31"/>
        <v>1037235.3106201335</v>
      </c>
      <c r="F50" s="15">
        <f t="shared" si="31"/>
        <v>1017877</v>
      </c>
      <c r="G50" s="15">
        <f t="shared" si="31"/>
        <v>19469</v>
      </c>
      <c r="H50" s="15">
        <f t="shared" si="31"/>
        <v>35544.19533550495</v>
      </c>
      <c r="I50" s="16">
        <f t="shared" si="31"/>
        <v>1072890.195335505</v>
      </c>
      <c r="J50" s="97">
        <f t="shared" si="24"/>
        <v>0.01632619368160848</v>
      </c>
      <c r="K50" s="97">
        <f t="shared" si="24"/>
        <v>46.14043583535109</v>
      </c>
      <c r="L50" s="97">
        <f t="shared" si="24"/>
        <v>0.007019947461175898</v>
      </c>
      <c r="M50" s="94">
        <f t="shared" si="24"/>
        <v>0.03437492375192519</v>
      </c>
      <c r="N50" s="18">
        <f aca="true" t="shared" si="32" ref="N50:U50">SUM(N37:N49)</f>
        <v>1</v>
      </c>
      <c r="O50" s="18">
        <f t="shared" si="32"/>
        <v>1</v>
      </c>
      <c r="P50" s="18">
        <f t="shared" si="32"/>
        <v>1</v>
      </c>
      <c r="Q50" s="19">
        <f t="shared" si="32"/>
        <v>1</v>
      </c>
      <c r="R50" s="18">
        <f t="shared" si="32"/>
        <v>1</v>
      </c>
      <c r="S50" s="18">
        <f t="shared" si="32"/>
        <v>1</v>
      </c>
      <c r="T50" s="18">
        <f t="shared" si="32"/>
        <v>1</v>
      </c>
      <c r="U50" s="21">
        <f t="shared" si="32"/>
        <v>1</v>
      </c>
    </row>
    <row r="51" spans="1:21" ht="15.75" customHeight="1">
      <c r="A51" s="1" t="s">
        <v>78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6"/>
      <c r="N51" s="27"/>
      <c r="O51" s="27"/>
      <c r="P51" s="27"/>
      <c r="Q51" s="27"/>
      <c r="R51" s="27"/>
      <c r="S51" s="27"/>
      <c r="T51" s="27"/>
      <c r="U51" s="27"/>
    </row>
    <row r="52" spans="1:21" ht="15.75" customHeight="1">
      <c r="A52" s="2" t="str">
        <f>+A26</f>
        <v>Canadian Exchange Rate Used: 2007 = 1.01204 and 2008 = 0.818438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>
      <c r="A53" s="1" t="s">
        <v>25</v>
      </c>
      <c r="B53" s="3" t="s">
        <v>25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>
      <c r="A55" s="1"/>
      <c r="B55" s="1"/>
      <c r="C55" s="1"/>
      <c r="D55" s="1"/>
      <c r="E55" s="2" t="s">
        <v>17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thickBot="1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>
      <c r="A57" s="38" t="s">
        <v>25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0"/>
      <c r="Q57" s="1"/>
      <c r="R57" s="1"/>
      <c r="S57" s="1"/>
      <c r="T57" s="1"/>
      <c r="U57" s="1"/>
    </row>
    <row r="58" spans="1:21" ht="15.75" customHeight="1">
      <c r="A58" s="45"/>
      <c r="B58" s="42" t="s">
        <v>34</v>
      </c>
      <c r="C58" s="42"/>
      <c r="D58" s="42"/>
      <c r="E58" s="46"/>
      <c r="F58" s="42" t="s">
        <v>27</v>
      </c>
      <c r="G58" s="42"/>
      <c r="H58" s="42"/>
      <c r="I58" s="46"/>
      <c r="J58" s="42" t="s">
        <v>35</v>
      </c>
      <c r="K58" s="42"/>
      <c r="L58" s="42"/>
      <c r="M58" s="44"/>
      <c r="Q58" s="1"/>
      <c r="R58" s="1"/>
      <c r="S58" s="1"/>
      <c r="T58" s="1"/>
      <c r="U58" s="1"/>
    </row>
    <row r="59" spans="1:13" ht="15.75" customHeight="1">
      <c r="A59" s="45"/>
      <c r="B59" s="42"/>
      <c r="C59" s="42">
        <f>+C34</f>
        <v>2007</v>
      </c>
      <c r="D59" s="42"/>
      <c r="E59" s="46"/>
      <c r="F59" s="42"/>
      <c r="G59" s="42">
        <f>+G34</f>
        <v>2008</v>
      </c>
      <c r="H59" s="42"/>
      <c r="I59" s="46"/>
      <c r="J59" s="42"/>
      <c r="K59" s="42">
        <f>+G59</f>
        <v>2008</v>
      </c>
      <c r="L59" s="42"/>
      <c r="M59" s="44"/>
    </row>
    <row r="60" spans="1:13" ht="15.75" customHeight="1" thickBot="1">
      <c r="A60" s="48" t="s">
        <v>2</v>
      </c>
      <c r="B60" s="51" t="s">
        <v>3</v>
      </c>
      <c r="C60" s="51" t="s">
        <v>4</v>
      </c>
      <c r="D60" s="51" t="s">
        <v>5</v>
      </c>
      <c r="E60" s="52" t="s">
        <v>6</v>
      </c>
      <c r="F60" s="51" t="s">
        <v>3</v>
      </c>
      <c r="G60" s="51" t="s">
        <v>4</v>
      </c>
      <c r="H60" s="51" t="s">
        <v>5</v>
      </c>
      <c r="I60" s="52" t="s">
        <v>6</v>
      </c>
      <c r="J60" s="51" t="s">
        <v>3</v>
      </c>
      <c r="K60" s="51" t="s">
        <v>4</v>
      </c>
      <c r="L60" s="51" t="s">
        <v>5</v>
      </c>
      <c r="M60" s="54" t="s">
        <v>6</v>
      </c>
    </row>
    <row r="61" spans="1:13" ht="15.75" customHeight="1" thickTop="1">
      <c r="A61" s="28"/>
      <c r="B61" s="61"/>
      <c r="C61" s="61"/>
      <c r="D61" s="61"/>
      <c r="E61" s="62"/>
      <c r="F61" s="61"/>
      <c r="G61" s="61"/>
      <c r="H61" s="61"/>
      <c r="I61" s="62"/>
      <c r="J61" s="61"/>
      <c r="K61" s="61"/>
      <c r="L61" s="61"/>
      <c r="M61" s="63"/>
    </row>
    <row r="62" spans="1:13" s="60" customFormat="1" ht="15.75" customHeight="1">
      <c r="A62" s="28" t="str">
        <f>+A37</f>
        <v>Aurigen</v>
      </c>
      <c r="B62" s="29">
        <f>+B37</f>
        <v>0</v>
      </c>
      <c r="C62" s="29">
        <f>+C37</f>
        <v>0</v>
      </c>
      <c r="D62" s="29">
        <f>+D37</f>
        <v>0</v>
      </c>
      <c r="E62" s="30">
        <f aca="true" t="shared" si="33" ref="E62:E74">+D62+C62+B62</f>
        <v>0</v>
      </c>
      <c r="F62" s="29">
        <f>+F11</f>
        <v>30</v>
      </c>
      <c r="G62" s="29">
        <f>+G11</f>
        <v>19078</v>
      </c>
      <c r="H62" s="29">
        <f>+H11</f>
        <v>0</v>
      </c>
      <c r="I62" s="30">
        <f aca="true" t="shared" si="34" ref="I62:I74">+H62+G62+F62</f>
        <v>19108</v>
      </c>
      <c r="J62" s="29">
        <f aca="true" t="shared" si="35" ref="J62:L63">+F37</f>
        <v>30</v>
      </c>
      <c r="K62" s="29">
        <f t="shared" si="35"/>
        <v>19078</v>
      </c>
      <c r="L62" s="29">
        <f t="shared" si="35"/>
        <v>0</v>
      </c>
      <c r="M62" s="31">
        <f aca="true" t="shared" si="36" ref="M62:M74">+L62+K62+J62</f>
        <v>19108</v>
      </c>
    </row>
    <row r="63" spans="1:13" s="60" customFormat="1" ht="15.75" customHeight="1">
      <c r="A63" s="28" t="str">
        <f>+A38</f>
        <v>AXA Equitable</v>
      </c>
      <c r="B63" s="29">
        <f aca="true" t="shared" si="37" ref="A63:D66">+B38</f>
        <v>0</v>
      </c>
      <c r="C63" s="29">
        <f t="shared" si="37"/>
        <v>0</v>
      </c>
      <c r="D63" s="29">
        <f t="shared" si="37"/>
        <v>2904.035413620015</v>
      </c>
      <c r="E63" s="30">
        <f>+D63+C63+B63</f>
        <v>2904.035413620015</v>
      </c>
      <c r="F63" s="29">
        <f aca="true" t="shared" si="38" ref="F63:H66">+F12</f>
        <v>0</v>
      </c>
      <c r="G63" s="29">
        <f t="shared" si="38"/>
        <v>0</v>
      </c>
      <c r="H63" s="29">
        <f t="shared" si="38"/>
        <v>475.2956241034752</v>
      </c>
      <c r="I63" s="30">
        <f>+H63+G63+F63</f>
        <v>475.2956241034752</v>
      </c>
      <c r="J63" s="29">
        <f t="shared" si="35"/>
        <v>0</v>
      </c>
      <c r="K63" s="29">
        <f t="shared" si="35"/>
        <v>0</v>
      </c>
      <c r="L63" s="29">
        <f t="shared" si="35"/>
        <v>3643.5258382430925</v>
      </c>
      <c r="M63" s="31">
        <f>+L63+K63+J63</f>
        <v>3643.5258382430925</v>
      </c>
    </row>
    <row r="64" spans="1:13" s="60" customFormat="1" ht="15.75" customHeight="1">
      <c r="A64" s="28" t="str">
        <f>+A39</f>
        <v>Canada Life</v>
      </c>
      <c r="B64" s="29">
        <f t="shared" si="37"/>
        <v>1664</v>
      </c>
      <c r="C64" s="29">
        <f t="shared" si="37"/>
        <v>0</v>
      </c>
      <c r="D64" s="29">
        <f t="shared" si="37"/>
        <v>0</v>
      </c>
      <c r="E64" s="30">
        <f t="shared" si="33"/>
        <v>1664</v>
      </c>
      <c r="F64" s="29">
        <f t="shared" si="38"/>
        <v>1</v>
      </c>
      <c r="G64" s="29">
        <f t="shared" si="38"/>
        <v>0</v>
      </c>
      <c r="H64" s="29">
        <f t="shared" si="38"/>
        <v>0</v>
      </c>
      <c r="I64" s="30">
        <f t="shared" si="34"/>
        <v>1</v>
      </c>
      <c r="J64" s="29">
        <f aca="true" t="shared" si="39" ref="J64:L69">+F39</f>
        <v>1566</v>
      </c>
      <c r="K64" s="29">
        <f t="shared" si="39"/>
        <v>0</v>
      </c>
      <c r="L64" s="29">
        <f t="shared" si="39"/>
        <v>0</v>
      </c>
      <c r="M64" s="31">
        <f t="shared" si="36"/>
        <v>1566</v>
      </c>
    </row>
    <row r="65" spans="1:13" s="60" customFormat="1" ht="15.75" customHeight="1">
      <c r="A65" s="28" t="str">
        <f t="shared" si="37"/>
        <v>Employers Re Corp.</v>
      </c>
      <c r="B65" s="29">
        <f t="shared" si="37"/>
        <v>70070</v>
      </c>
      <c r="C65" s="29">
        <f t="shared" si="37"/>
        <v>0</v>
      </c>
      <c r="D65" s="29">
        <f t="shared" si="37"/>
        <v>0</v>
      </c>
      <c r="E65" s="30">
        <f t="shared" si="33"/>
        <v>70070</v>
      </c>
      <c r="F65" s="104" t="str">
        <f t="shared" si="38"/>
        <v>DNR</v>
      </c>
      <c r="G65" s="104" t="str">
        <f t="shared" si="38"/>
        <v>DNR</v>
      </c>
      <c r="H65" s="104" t="str">
        <f t="shared" si="38"/>
        <v>DNR</v>
      </c>
      <c r="I65" s="105" t="s">
        <v>77</v>
      </c>
      <c r="J65" s="104" t="str">
        <f t="shared" si="39"/>
        <v>DNR</v>
      </c>
      <c r="K65" s="104" t="str">
        <f t="shared" si="39"/>
        <v>DNR</v>
      </c>
      <c r="L65" s="104" t="str">
        <f t="shared" si="39"/>
        <v>DNR</v>
      </c>
      <c r="M65" s="107" t="s">
        <v>77</v>
      </c>
    </row>
    <row r="66" spans="1:13" s="60" customFormat="1" ht="15.75" customHeight="1">
      <c r="A66" s="28" t="str">
        <f t="shared" si="37"/>
        <v>General Re Life</v>
      </c>
      <c r="B66" s="29">
        <f t="shared" si="37"/>
        <v>174.89427295363816</v>
      </c>
      <c r="C66" s="29">
        <f t="shared" si="37"/>
        <v>0</v>
      </c>
      <c r="D66" s="29">
        <f t="shared" si="37"/>
        <v>0</v>
      </c>
      <c r="E66" s="30">
        <f t="shared" si="33"/>
        <v>174.89427295363816</v>
      </c>
      <c r="F66" s="29">
        <f t="shared" si="38"/>
        <v>0</v>
      </c>
      <c r="G66" s="29">
        <f t="shared" si="38"/>
        <v>0</v>
      </c>
      <c r="H66" s="29">
        <f t="shared" si="38"/>
        <v>0</v>
      </c>
      <c r="I66" s="30">
        <f t="shared" si="34"/>
        <v>0</v>
      </c>
      <c r="J66" s="29">
        <f t="shared" si="39"/>
        <v>175</v>
      </c>
      <c r="K66" s="29">
        <f t="shared" si="39"/>
        <v>0</v>
      </c>
      <c r="L66" s="29">
        <f t="shared" si="39"/>
        <v>0</v>
      </c>
      <c r="M66" s="31">
        <f t="shared" si="36"/>
        <v>175</v>
      </c>
    </row>
    <row r="67" spans="1:13" s="60" customFormat="1" ht="15.75" customHeight="1">
      <c r="A67" s="28" t="str">
        <f aca="true" t="shared" si="40" ref="A67:D70">+A42</f>
        <v>Manufacturers Life</v>
      </c>
      <c r="B67" s="29">
        <f t="shared" si="40"/>
        <v>0</v>
      </c>
      <c r="C67" s="29">
        <f t="shared" si="40"/>
        <v>0</v>
      </c>
      <c r="D67" s="29">
        <f t="shared" si="40"/>
        <v>11591.439073554404</v>
      </c>
      <c r="E67" s="30">
        <f t="shared" si="33"/>
        <v>11591.439073554404</v>
      </c>
      <c r="F67" s="29">
        <f aca="true" t="shared" si="41" ref="F67:H70">+F16</f>
        <v>0</v>
      </c>
      <c r="G67" s="29">
        <f t="shared" si="41"/>
        <v>0</v>
      </c>
      <c r="H67" s="29">
        <f t="shared" si="41"/>
        <v>1113.095921743614</v>
      </c>
      <c r="I67" s="30">
        <f t="shared" si="34"/>
        <v>1113.095921743614</v>
      </c>
      <c r="J67" s="29">
        <f t="shared" si="39"/>
        <v>0</v>
      </c>
      <c r="K67" s="29">
        <f t="shared" si="39"/>
        <v>0</v>
      </c>
      <c r="L67" s="29">
        <f t="shared" si="39"/>
        <v>10771.738360144567</v>
      </c>
      <c r="M67" s="31">
        <f t="shared" si="36"/>
        <v>10771.738360144567</v>
      </c>
    </row>
    <row r="68" spans="1:13" s="60" customFormat="1" ht="15.75" customHeight="1">
      <c r="A68" s="28" t="str">
        <f t="shared" si="40"/>
        <v>Munich Re (Canada)</v>
      </c>
      <c r="B68" s="29">
        <f t="shared" si="40"/>
        <v>381745</v>
      </c>
      <c r="C68" s="29">
        <f t="shared" si="40"/>
        <v>0</v>
      </c>
      <c r="D68" s="29">
        <f t="shared" si="40"/>
        <v>1</v>
      </c>
      <c r="E68" s="30">
        <f t="shared" si="33"/>
        <v>381746</v>
      </c>
      <c r="F68" s="29">
        <f t="shared" si="41"/>
        <v>43828</v>
      </c>
      <c r="G68" s="29">
        <f t="shared" si="41"/>
        <v>0</v>
      </c>
      <c r="H68" s="29">
        <f t="shared" si="41"/>
        <v>0</v>
      </c>
      <c r="I68" s="30">
        <f t="shared" si="34"/>
        <v>43828</v>
      </c>
      <c r="J68" s="29">
        <f t="shared" si="39"/>
        <v>396816</v>
      </c>
      <c r="K68" s="29">
        <f t="shared" si="39"/>
        <v>0</v>
      </c>
      <c r="L68" s="29">
        <f t="shared" si="39"/>
        <v>1</v>
      </c>
      <c r="M68" s="31">
        <f t="shared" si="36"/>
        <v>396817</v>
      </c>
    </row>
    <row r="69" spans="1:13" s="60" customFormat="1" ht="15.75" customHeight="1">
      <c r="A69" s="28" t="str">
        <f t="shared" si="40"/>
        <v>Optimum Re (Canada)</v>
      </c>
      <c r="B69" s="29">
        <f t="shared" si="40"/>
        <v>25976</v>
      </c>
      <c r="C69" s="29">
        <f t="shared" si="40"/>
        <v>413</v>
      </c>
      <c r="D69" s="29">
        <f t="shared" si="40"/>
        <v>0</v>
      </c>
      <c r="E69" s="30">
        <f t="shared" si="33"/>
        <v>26389</v>
      </c>
      <c r="F69" s="29">
        <f t="shared" si="41"/>
        <v>4303</v>
      </c>
      <c r="G69" s="29">
        <f t="shared" si="41"/>
        <v>0</v>
      </c>
      <c r="H69" s="29">
        <f t="shared" si="41"/>
        <v>0</v>
      </c>
      <c r="I69" s="30">
        <f t="shared" si="34"/>
        <v>4303</v>
      </c>
      <c r="J69" s="29">
        <f t="shared" si="39"/>
        <v>28522</v>
      </c>
      <c r="K69" s="29">
        <f t="shared" si="39"/>
        <v>391</v>
      </c>
      <c r="L69" s="29">
        <f t="shared" si="39"/>
        <v>0</v>
      </c>
      <c r="M69" s="31">
        <f t="shared" si="36"/>
        <v>28913</v>
      </c>
    </row>
    <row r="70" spans="1:13" s="60" customFormat="1" ht="15.75" customHeight="1">
      <c r="A70" s="28" t="str">
        <f t="shared" si="40"/>
        <v>Pacific Life</v>
      </c>
      <c r="B70" s="29">
        <f t="shared" si="40"/>
        <v>0</v>
      </c>
      <c r="C70" s="29">
        <f t="shared" si="40"/>
        <v>0</v>
      </c>
      <c r="D70" s="29">
        <f t="shared" si="40"/>
        <v>170.94186000553336</v>
      </c>
      <c r="E70" s="30">
        <f>+D70+C70+B70</f>
        <v>170.94186000553336</v>
      </c>
      <c r="F70" s="29">
        <f t="shared" si="41"/>
        <v>0</v>
      </c>
      <c r="G70" s="29">
        <f t="shared" si="41"/>
        <v>0</v>
      </c>
      <c r="H70" s="29">
        <f t="shared" si="41"/>
        <v>73.67567965814484</v>
      </c>
      <c r="I70" s="30">
        <f>+H70+G70+F70</f>
        <v>73.67567965814484</v>
      </c>
      <c r="J70" s="29">
        <f>+F45</f>
        <v>0</v>
      </c>
      <c r="K70" s="29">
        <f>+G45</f>
        <v>0</v>
      </c>
      <c r="L70" s="29">
        <f>+H45</f>
        <v>219.93113711728927</v>
      </c>
      <c r="M70" s="31">
        <f>+L70+K70+J70</f>
        <v>219.93113711728927</v>
      </c>
    </row>
    <row r="71" spans="1:13" s="60" customFormat="1" ht="15.75" customHeight="1">
      <c r="A71" s="28" t="str">
        <f aca="true" t="shared" si="42" ref="A71:D73">+A46</f>
        <v>RGA Re (Canada)</v>
      </c>
      <c r="B71" s="29">
        <f t="shared" si="42"/>
        <v>211259</v>
      </c>
      <c r="C71" s="29">
        <f t="shared" si="42"/>
        <v>0</v>
      </c>
      <c r="D71" s="29">
        <f t="shared" si="42"/>
        <v>3432</v>
      </c>
      <c r="E71" s="30">
        <f t="shared" si="33"/>
        <v>214691</v>
      </c>
      <c r="F71" s="29">
        <f>+F20</f>
        <v>52289</v>
      </c>
      <c r="G71" s="29">
        <f>+G20</f>
        <v>0</v>
      </c>
      <c r="H71" s="29">
        <f>+H20</f>
        <v>0</v>
      </c>
      <c r="I71" s="30">
        <f t="shared" si="34"/>
        <v>52289</v>
      </c>
      <c r="J71" s="29">
        <f aca="true" t="shared" si="43" ref="J71:L73">+F46</f>
        <v>249328</v>
      </c>
      <c r="K71" s="29">
        <f t="shared" si="43"/>
        <v>0</v>
      </c>
      <c r="L71" s="29">
        <f t="shared" si="43"/>
        <v>3370</v>
      </c>
      <c r="M71" s="31">
        <f t="shared" si="36"/>
        <v>252698</v>
      </c>
    </row>
    <row r="72" spans="1:13" s="60" customFormat="1" ht="15.75" customHeight="1">
      <c r="A72" s="28" t="str">
        <f t="shared" si="42"/>
        <v>SCOR Global Life (Canada)</v>
      </c>
      <c r="B72" s="29">
        <f aca="true" t="shared" si="44" ref="B72:E73">+B47</f>
        <v>16794</v>
      </c>
      <c r="C72" s="29">
        <f t="shared" si="44"/>
        <v>0</v>
      </c>
      <c r="D72" s="29">
        <f t="shared" si="44"/>
        <v>0</v>
      </c>
      <c r="E72" s="29">
        <f t="shared" si="44"/>
        <v>16794</v>
      </c>
      <c r="F72" s="36">
        <f aca="true" t="shared" si="45" ref="F72:H74">+F21</f>
        <v>4452</v>
      </c>
      <c r="G72" s="29">
        <f t="shared" si="45"/>
        <v>0</v>
      </c>
      <c r="H72" s="29">
        <f t="shared" si="45"/>
        <v>0</v>
      </c>
      <c r="I72" s="30">
        <f t="shared" si="34"/>
        <v>4452</v>
      </c>
      <c r="J72" s="29">
        <f t="shared" si="43"/>
        <v>21062</v>
      </c>
      <c r="K72" s="29">
        <f t="shared" si="43"/>
        <v>0</v>
      </c>
      <c r="L72" s="29">
        <f t="shared" si="43"/>
        <v>0</v>
      </c>
      <c r="M72" s="31">
        <f t="shared" si="36"/>
        <v>21062</v>
      </c>
    </row>
    <row r="73" spans="1:13" s="60" customFormat="1" ht="15.75" customHeight="1">
      <c r="A73" s="28" t="str">
        <f t="shared" si="42"/>
        <v>Sun Life </v>
      </c>
      <c r="B73" s="29">
        <f t="shared" si="44"/>
        <v>0</v>
      </c>
      <c r="C73" s="29">
        <f t="shared" si="44"/>
        <v>0</v>
      </c>
      <c r="D73" s="29">
        <f t="shared" si="44"/>
        <v>17197</v>
      </c>
      <c r="E73" s="29">
        <f t="shared" si="44"/>
        <v>17197</v>
      </c>
      <c r="F73" s="36">
        <f t="shared" si="45"/>
        <v>0</v>
      </c>
      <c r="G73" s="29">
        <f t="shared" si="45"/>
        <v>0</v>
      </c>
      <c r="H73" s="29">
        <f t="shared" si="45"/>
        <v>1116</v>
      </c>
      <c r="I73" s="30">
        <f>+H73+G73+F73</f>
        <v>1116</v>
      </c>
      <c r="J73" s="29">
        <f t="shared" si="43"/>
        <v>0</v>
      </c>
      <c r="K73" s="29">
        <f t="shared" si="43"/>
        <v>0</v>
      </c>
      <c r="L73" s="29">
        <f t="shared" si="43"/>
        <v>17538</v>
      </c>
      <c r="M73" s="31">
        <f t="shared" si="36"/>
        <v>17538</v>
      </c>
    </row>
    <row r="74" spans="1:13" s="60" customFormat="1" ht="15.75" customHeight="1" thickBot="1">
      <c r="A74" s="28" t="str">
        <f>+A49</f>
        <v>Swiss Re </v>
      </c>
      <c r="B74" s="29">
        <f>+B49</f>
        <v>293843</v>
      </c>
      <c r="C74" s="29">
        <f>+C49</f>
        <v>0</v>
      </c>
      <c r="D74" s="29">
        <f>+D49</f>
        <v>0</v>
      </c>
      <c r="E74" s="30">
        <f t="shared" si="33"/>
        <v>293843</v>
      </c>
      <c r="F74" s="29">
        <f t="shared" si="45"/>
        <v>45135</v>
      </c>
      <c r="G74" s="29">
        <f t="shared" si="45"/>
        <v>0</v>
      </c>
      <c r="H74" s="29">
        <f t="shared" si="45"/>
        <v>0</v>
      </c>
      <c r="I74" s="30">
        <f t="shared" si="34"/>
        <v>45135</v>
      </c>
      <c r="J74" s="29">
        <f>+F49</f>
        <v>320378</v>
      </c>
      <c r="K74" s="29">
        <f>+G49</f>
        <v>0</v>
      </c>
      <c r="L74" s="29">
        <f>+H49</f>
        <v>0</v>
      </c>
      <c r="M74" s="31">
        <f t="shared" si="36"/>
        <v>320378</v>
      </c>
    </row>
    <row r="75" spans="1:13" ht="15.75" customHeight="1" thickBot="1">
      <c r="A75" s="14" t="s">
        <v>15</v>
      </c>
      <c r="B75" s="15">
        <f aca="true" t="shared" si="46" ref="B75:I75">SUM(B62:B74)</f>
        <v>1001525.8942729536</v>
      </c>
      <c r="C75" s="15">
        <f t="shared" si="46"/>
        <v>413</v>
      </c>
      <c r="D75" s="15">
        <f t="shared" si="46"/>
        <v>35296.416347179955</v>
      </c>
      <c r="E75" s="16">
        <f t="shared" si="46"/>
        <v>1037235.3106201335</v>
      </c>
      <c r="F75" s="15">
        <f t="shared" si="46"/>
        <v>150038</v>
      </c>
      <c r="G75" s="15">
        <f t="shared" si="46"/>
        <v>19078</v>
      </c>
      <c r="H75" s="15">
        <f t="shared" si="46"/>
        <v>2778.067225505234</v>
      </c>
      <c r="I75" s="15">
        <f t="shared" si="46"/>
        <v>171894.06722550525</v>
      </c>
      <c r="J75" s="22">
        <f>SUM(J62:J74)</f>
        <v>1017877</v>
      </c>
      <c r="K75" s="15">
        <f>SUM(K62:K74)</f>
        <v>19469</v>
      </c>
      <c r="L75" s="15">
        <f>SUM(L62:L74)</f>
        <v>35544.19533550495</v>
      </c>
      <c r="M75" s="23">
        <f>SUM(M62:M74)</f>
        <v>1072890.195335505</v>
      </c>
    </row>
    <row r="76" spans="1:21" ht="15.75" customHeight="1">
      <c r="A76" s="2" t="str">
        <f>+A51</f>
        <v>DNR: Did Not Report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5"/>
      <c r="R76" s="5"/>
      <c r="S76" s="5"/>
      <c r="T76" s="5"/>
      <c r="U76" s="5"/>
    </row>
    <row r="77" spans="1:21" ht="15.75" customHeight="1">
      <c r="A77" s="2" t="str">
        <f>+A52</f>
        <v>Canadian Exchange Rate Used: 2007 = 1.01204 and 2008 = 0.818438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</sheetData>
  <sheetProtection/>
  <mergeCells count="2">
    <mergeCell ref="J7:M7"/>
    <mergeCell ref="J33:M33"/>
  </mergeCells>
  <printOptions/>
  <pageMargins left="0.75" right="0.75" top="1" bottom="1" header="0.5" footer="0.5"/>
  <pageSetup fitToHeight="3" fitToWidth="1" horizontalDpi="600" verticalDpi="600" orientation="landscape" scale="54" r:id="rId1"/>
  <rowBreaks count="3" manualBreakCount="3">
    <brk id="26" max="20" man="1"/>
    <brk id="27" max="20" man="1"/>
    <brk id="52" max="20" man="1"/>
  </rowBreaks>
  <colBreaks count="2" manualBreakCount="2">
    <brk id="3" max="76" man="1"/>
    <brk id="4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PageLayoutView="0" workbookViewId="0" topLeftCell="A1">
      <selection activeCell="A52" sqref="A52"/>
    </sheetView>
  </sheetViews>
  <sheetFormatPr defaultColWidth="9.140625" defaultRowHeight="15.75" customHeight="1"/>
  <cols>
    <col min="1" max="1" width="33.140625" style="0" customWidth="1"/>
    <col min="2" max="2" width="11.28125" style="0" bestFit="1" customWidth="1"/>
    <col min="5" max="5" width="9.57421875" style="0" customWidth="1"/>
    <col min="6" max="6" width="9.7109375" style="0" customWidth="1"/>
    <col min="7" max="7" width="8.57421875" style="0" customWidth="1"/>
    <col min="8" max="8" width="12.28125" style="0" customWidth="1"/>
    <col min="10" max="10" width="12.28125" style="0" customWidth="1"/>
    <col min="15" max="15" width="9.8515625" style="0" customWidth="1"/>
    <col min="21" max="21" width="11.28125" style="0" customWidth="1"/>
    <col min="22" max="23" width="9.7109375" style="0" bestFit="1" customWidth="1"/>
  </cols>
  <sheetData>
    <row r="1" spans="1:23" ht="15.75" customHeight="1">
      <c r="A1" s="1" t="s">
        <v>18</v>
      </c>
      <c r="B1" s="59">
        <f>+canord!B28</f>
        <v>39912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>
      <c r="A3" s="1"/>
      <c r="B3" s="2" t="s">
        <v>71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thickBot="1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18" ht="15.75" customHeight="1">
      <c r="A5" s="38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82"/>
    </row>
    <row r="6" spans="1:18" ht="15.75" customHeight="1">
      <c r="A6" s="45"/>
      <c r="B6" s="42"/>
      <c r="C6" s="81"/>
      <c r="D6" s="42" t="s">
        <v>36</v>
      </c>
      <c r="E6" s="42"/>
      <c r="F6" s="42"/>
      <c r="G6" s="42"/>
      <c r="H6" s="42"/>
      <c r="I6" s="42"/>
      <c r="J6" s="43"/>
      <c r="K6" s="42"/>
      <c r="L6" s="42" t="s">
        <v>58</v>
      </c>
      <c r="M6" s="42"/>
      <c r="N6" s="42"/>
      <c r="O6" s="42"/>
      <c r="P6" s="42"/>
      <c r="Q6" s="42"/>
      <c r="R6" s="57"/>
    </row>
    <row r="7" spans="1:18" ht="15.75" customHeight="1">
      <c r="A7" s="45"/>
      <c r="B7" s="42"/>
      <c r="C7" s="42">
        <v>2007</v>
      </c>
      <c r="D7" s="42"/>
      <c r="E7" s="46"/>
      <c r="F7" s="42"/>
      <c r="G7" s="42">
        <v>2008</v>
      </c>
      <c r="H7" s="42"/>
      <c r="I7" s="42"/>
      <c r="J7" s="47" t="s">
        <v>7</v>
      </c>
      <c r="K7" s="42"/>
      <c r="L7" s="42">
        <f>+C7</f>
        <v>2007</v>
      </c>
      <c r="M7" s="42"/>
      <c r="N7" s="46"/>
      <c r="O7" s="42"/>
      <c r="P7" s="42">
        <f>+G7</f>
        <v>2008</v>
      </c>
      <c r="Q7" s="42"/>
      <c r="R7" s="57"/>
    </row>
    <row r="8" spans="1:18" ht="15.75" customHeight="1" thickBot="1">
      <c r="A8" s="48" t="s">
        <v>2</v>
      </c>
      <c r="B8" s="51" t="s">
        <v>19</v>
      </c>
      <c r="C8" s="51" t="s">
        <v>20</v>
      </c>
      <c r="D8" s="51" t="s">
        <v>50</v>
      </c>
      <c r="E8" s="52" t="s">
        <v>6</v>
      </c>
      <c r="F8" s="51" t="s">
        <v>19</v>
      </c>
      <c r="G8" s="51" t="s">
        <v>20</v>
      </c>
      <c r="H8" s="51" t="s">
        <v>50</v>
      </c>
      <c r="I8" s="51" t="s">
        <v>6</v>
      </c>
      <c r="J8" s="53" t="s">
        <v>8</v>
      </c>
      <c r="K8" s="51" t="s">
        <v>19</v>
      </c>
      <c r="L8" s="51" t="s">
        <v>20</v>
      </c>
      <c r="M8" s="51" t="str">
        <f>+H8</f>
        <v>Retro</v>
      </c>
      <c r="N8" s="52" t="s">
        <v>6</v>
      </c>
      <c r="O8" s="51" t="s">
        <v>19</v>
      </c>
      <c r="P8" s="51" t="s">
        <v>20</v>
      </c>
      <c r="Q8" s="51" t="str">
        <f>+M8</f>
        <v>Retro</v>
      </c>
      <c r="R8" s="58" t="s">
        <v>6</v>
      </c>
    </row>
    <row r="9" spans="1:18" ht="15.75" customHeight="1" thickTop="1">
      <c r="A9" s="28"/>
      <c r="B9" s="61"/>
      <c r="C9" s="61"/>
      <c r="D9" s="61"/>
      <c r="E9" s="62"/>
      <c r="F9" s="61"/>
      <c r="G9" s="61"/>
      <c r="H9" s="61"/>
      <c r="I9" s="61"/>
      <c r="J9" s="70"/>
      <c r="K9" s="61"/>
      <c r="L9" s="61"/>
      <c r="M9" s="61"/>
      <c r="N9" s="62"/>
      <c r="O9" s="61"/>
      <c r="P9" s="61"/>
      <c r="Q9" s="61"/>
      <c r="R9" s="73"/>
    </row>
    <row r="10" spans="1:18" ht="15.75" customHeight="1">
      <c r="A10" s="28" t="s">
        <v>63</v>
      </c>
      <c r="B10" s="61">
        <v>44</v>
      </c>
      <c r="C10" s="61">
        <v>0</v>
      </c>
      <c r="D10" s="61">
        <v>0</v>
      </c>
      <c r="E10" s="30">
        <f aca="true" t="shared" si="0" ref="E10:E23">+C10+B10+D10</f>
        <v>44</v>
      </c>
      <c r="F10" s="103">
        <v>65</v>
      </c>
      <c r="G10" s="61">
        <v>9</v>
      </c>
      <c r="H10" s="61">
        <v>0</v>
      </c>
      <c r="I10" s="29">
        <f aca="true" t="shared" si="1" ref="I10:I23">+G10+F10+H10</f>
        <v>74</v>
      </c>
      <c r="J10" s="32">
        <f aca="true" t="shared" si="2" ref="J10:J15">IF(+E10&gt;0,(+I10-E10)/E10,0)</f>
        <v>0.6818181818181818</v>
      </c>
      <c r="K10" s="33">
        <f aca="true" t="shared" si="3" ref="K10:K23">+B10/$B$25</f>
        <v>0.0026263952724885093</v>
      </c>
      <c r="L10" s="33">
        <f aca="true" t="shared" si="4" ref="L10:L23">+C10/$C$25</f>
        <v>0</v>
      </c>
      <c r="M10" s="33">
        <f aca="true" t="shared" si="5" ref="M10:M23">+D10/$D$25</f>
        <v>0</v>
      </c>
      <c r="N10" s="34">
        <f aca="true" t="shared" si="6" ref="N10:N23">+E10/$E$25</f>
        <v>0.0020041905803042724</v>
      </c>
      <c r="O10" s="33">
        <f aca="true" t="shared" si="7" ref="O10:O23">+F10/$F$25</f>
        <v>0.00019471979821037528</v>
      </c>
      <c r="P10" s="33">
        <f aca="true" t="shared" si="8" ref="P10:P23">+G10/$G$25</f>
        <v>0.012569832402234637</v>
      </c>
      <c r="Q10" s="33">
        <f aca="true" t="shared" si="9" ref="Q10:Q23">+H10/$H$25</f>
        <v>0</v>
      </c>
      <c r="R10" s="37">
        <f aca="true" t="shared" si="10" ref="R10:R23">+I10/$I$25</f>
        <v>0.0002192832992061352</v>
      </c>
    </row>
    <row r="11" spans="1:23" s="60" customFormat="1" ht="15.75" customHeight="1">
      <c r="A11" s="28" t="s">
        <v>85</v>
      </c>
      <c r="B11" s="36">
        <v>123</v>
      </c>
      <c r="C11" s="29">
        <v>16</v>
      </c>
      <c r="D11" s="29">
        <v>0</v>
      </c>
      <c r="E11" s="29">
        <f t="shared" si="0"/>
        <v>139</v>
      </c>
      <c r="F11" s="100">
        <f>97+289565</f>
        <v>289662</v>
      </c>
      <c r="G11" s="61">
        <v>22</v>
      </c>
      <c r="H11" s="61">
        <v>0</v>
      </c>
      <c r="I11" s="29">
        <f t="shared" si="1"/>
        <v>289684</v>
      </c>
      <c r="J11" s="32">
        <f t="shared" si="2"/>
        <v>2083.0575539568345</v>
      </c>
      <c r="K11" s="33">
        <f t="shared" si="3"/>
        <v>0.007341968602638333</v>
      </c>
      <c r="L11" s="33">
        <f t="shared" si="4"/>
        <v>0.007751937984496124</v>
      </c>
      <c r="M11" s="33">
        <f t="shared" si="5"/>
        <v>0</v>
      </c>
      <c r="N11" s="34">
        <f t="shared" si="6"/>
        <v>0.0063314202423248615</v>
      </c>
      <c r="O11" s="33">
        <f t="shared" si="7"/>
        <v>0.8677373259879034</v>
      </c>
      <c r="P11" s="33">
        <f t="shared" si="8"/>
        <v>0.030726256983240222</v>
      </c>
      <c r="Q11" s="33">
        <f t="shared" si="9"/>
        <v>0</v>
      </c>
      <c r="R11" s="37">
        <f t="shared" si="10"/>
        <v>0.8584170709085144</v>
      </c>
      <c r="S11"/>
      <c r="T11"/>
      <c r="U11"/>
      <c r="V11"/>
      <c r="W11"/>
    </row>
    <row r="12" spans="1:23" s="60" customFormat="1" ht="15.75" customHeight="1">
      <c r="A12" s="28" t="s">
        <v>64</v>
      </c>
      <c r="B12" s="36">
        <v>0</v>
      </c>
      <c r="C12" s="29">
        <v>0</v>
      </c>
      <c r="D12" s="29">
        <v>0</v>
      </c>
      <c r="E12" s="29">
        <f t="shared" si="0"/>
        <v>0</v>
      </c>
      <c r="F12" s="100">
        <v>0</v>
      </c>
      <c r="G12" s="61">
        <v>0</v>
      </c>
      <c r="H12" s="61">
        <v>0</v>
      </c>
      <c r="I12" s="29">
        <f t="shared" si="1"/>
        <v>0</v>
      </c>
      <c r="J12" s="32">
        <f t="shared" si="2"/>
        <v>0</v>
      </c>
      <c r="K12" s="33">
        <f t="shared" si="3"/>
        <v>0</v>
      </c>
      <c r="L12" s="33">
        <f t="shared" si="4"/>
        <v>0</v>
      </c>
      <c r="M12" s="33">
        <f t="shared" si="5"/>
        <v>0</v>
      </c>
      <c r="N12" s="34">
        <f t="shared" si="6"/>
        <v>0</v>
      </c>
      <c r="O12" s="33">
        <f t="shared" si="7"/>
        <v>0</v>
      </c>
      <c r="P12" s="33">
        <f t="shared" si="8"/>
        <v>0</v>
      </c>
      <c r="Q12" s="33">
        <f t="shared" si="9"/>
        <v>0</v>
      </c>
      <c r="R12" s="37">
        <f t="shared" si="10"/>
        <v>0</v>
      </c>
      <c r="S12"/>
      <c r="T12"/>
      <c r="U12"/>
      <c r="V12"/>
      <c r="W12"/>
    </row>
    <row r="13" spans="1:23" s="60" customFormat="1" ht="15.75" customHeight="1">
      <c r="A13" s="28" t="s">
        <v>43</v>
      </c>
      <c r="B13" s="36">
        <v>112</v>
      </c>
      <c r="C13" s="29">
        <v>1422</v>
      </c>
      <c r="D13" s="29">
        <v>0</v>
      </c>
      <c r="E13" s="29">
        <f t="shared" si="0"/>
        <v>1534</v>
      </c>
      <c r="F13" s="100">
        <v>50</v>
      </c>
      <c r="G13" s="61">
        <v>602</v>
      </c>
      <c r="H13" s="61">
        <v>0</v>
      </c>
      <c r="I13" s="29">
        <f t="shared" si="1"/>
        <v>652</v>
      </c>
      <c r="J13" s="32">
        <f t="shared" si="2"/>
        <v>-0.5749674054758801</v>
      </c>
      <c r="K13" s="33">
        <f t="shared" si="3"/>
        <v>0.006685369784516206</v>
      </c>
      <c r="L13" s="33">
        <f t="shared" si="4"/>
        <v>0.688953488372093</v>
      </c>
      <c r="M13" s="33">
        <f t="shared" si="5"/>
        <v>0</v>
      </c>
      <c r="N13" s="34">
        <f t="shared" si="6"/>
        <v>0.0698733715951535</v>
      </c>
      <c r="O13" s="33">
        <f t="shared" si="7"/>
        <v>0.00014978446016182713</v>
      </c>
      <c r="P13" s="33">
        <f t="shared" si="8"/>
        <v>0.840782122905028</v>
      </c>
      <c r="Q13" s="33">
        <f t="shared" si="9"/>
        <v>0</v>
      </c>
      <c r="R13" s="37">
        <f t="shared" si="10"/>
        <v>0.0019320636632756776</v>
      </c>
      <c r="S13"/>
      <c r="T13"/>
      <c r="U13"/>
      <c r="V13"/>
      <c r="W13"/>
    </row>
    <row r="14" spans="1:23" s="60" customFormat="1" ht="15.75" customHeight="1">
      <c r="A14" s="28" t="s">
        <v>84</v>
      </c>
      <c r="B14" s="36">
        <v>1015</v>
      </c>
      <c r="C14" s="29">
        <v>0</v>
      </c>
      <c r="D14" s="29">
        <v>0</v>
      </c>
      <c r="E14" s="29">
        <f t="shared" si="0"/>
        <v>1015</v>
      </c>
      <c r="F14" s="100">
        <v>27394</v>
      </c>
      <c r="G14" s="61">
        <v>0</v>
      </c>
      <c r="H14" s="61">
        <v>0</v>
      </c>
      <c r="I14" s="29">
        <f t="shared" si="1"/>
        <v>27394</v>
      </c>
      <c r="J14" s="32">
        <f t="shared" si="2"/>
        <v>25.989162561576354</v>
      </c>
      <c r="K14" s="33">
        <f t="shared" si="3"/>
        <v>0.06058616367217812</v>
      </c>
      <c r="L14" s="33">
        <f t="shared" si="4"/>
        <v>0</v>
      </c>
      <c r="M14" s="33">
        <f t="shared" si="5"/>
        <v>0</v>
      </c>
      <c r="N14" s="34">
        <f t="shared" si="6"/>
        <v>0.04623303270474629</v>
      </c>
      <c r="O14" s="33">
        <f t="shared" si="7"/>
        <v>0.08206391003346185</v>
      </c>
      <c r="P14" s="33">
        <f t="shared" si="8"/>
        <v>0</v>
      </c>
      <c r="Q14" s="33">
        <f t="shared" si="9"/>
        <v>0</v>
      </c>
      <c r="R14" s="37">
        <f t="shared" si="10"/>
        <v>0.08117630673584957</v>
      </c>
      <c r="S14"/>
      <c r="T14"/>
      <c r="U14"/>
      <c r="V14"/>
      <c r="W14"/>
    </row>
    <row r="15" spans="1:23" s="60" customFormat="1" ht="15.75" customHeight="1">
      <c r="A15" s="28" t="s">
        <v>52</v>
      </c>
      <c r="B15" s="36">
        <v>4625</v>
      </c>
      <c r="C15" s="29">
        <v>0</v>
      </c>
      <c r="D15" s="29">
        <v>0</v>
      </c>
      <c r="E15" s="29">
        <f>+C15+B15+D15</f>
        <v>4625</v>
      </c>
      <c r="F15" s="100">
        <v>7333</v>
      </c>
      <c r="G15" s="61">
        <v>0</v>
      </c>
      <c r="H15" s="61">
        <v>0</v>
      </c>
      <c r="I15" s="29">
        <f>+G15+F15+H15</f>
        <v>7333</v>
      </c>
      <c r="J15" s="32">
        <f t="shared" si="2"/>
        <v>0.5855135135135136</v>
      </c>
      <c r="K15" s="33">
        <f t="shared" si="3"/>
        <v>0.27606995761953085</v>
      </c>
      <c r="L15" s="33">
        <f t="shared" si="4"/>
        <v>0</v>
      </c>
      <c r="M15" s="33">
        <f t="shared" si="5"/>
        <v>0</v>
      </c>
      <c r="N15" s="34">
        <f t="shared" si="6"/>
        <v>0.21066775986152866</v>
      </c>
      <c r="O15" s="33">
        <f t="shared" si="7"/>
        <v>0.02196738892733357</v>
      </c>
      <c r="P15" s="33">
        <f t="shared" si="8"/>
        <v>0</v>
      </c>
      <c r="Q15" s="33">
        <f t="shared" si="9"/>
        <v>0</v>
      </c>
      <c r="R15" s="37">
        <f t="shared" si="10"/>
        <v>0.021729789636197153</v>
      </c>
      <c r="S15"/>
      <c r="T15"/>
      <c r="U15"/>
      <c r="V15"/>
      <c r="W15"/>
    </row>
    <row r="16" spans="1:23" s="60" customFormat="1" ht="15.75" customHeight="1">
      <c r="A16" s="28" t="s">
        <v>66</v>
      </c>
      <c r="B16" s="36">
        <v>275</v>
      </c>
      <c r="C16" s="29">
        <v>0</v>
      </c>
      <c r="D16" s="29">
        <v>0</v>
      </c>
      <c r="E16" s="29">
        <f>+C16+B16+D16</f>
        <v>275</v>
      </c>
      <c r="F16" s="100">
        <v>340</v>
      </c>
      <c r="G16" s="61">
        <v>0</v>
      </c>
      <c r="H16" s="61">
        <v>0</v>
      </c>
      <c r="I16" s="29">
        <f>+G16+F16+H16</f>
        <v>340</v>
      </c>
      <c r="J16" s="32">
        <f>IF(+E16&gt;0,(+I16-E16)/E16,0)</f>
        <v>0.23636363636363636</v>
      </c>
      <c r="K16" s="33">
        <f t="shared" si="3"/>
        <v>0.016414970453053186</v>
      </c>
      <c r="L16" s="33">
        <f t="shared" si="4"/>
        <v>0</v>
      </c>
      <c r="M16" s="33">
        <f t="shared" si="5"/>
        <v>0</v>
      </c>
      <c r="N16" s="34">
        <f t="shared" si="6"/>
        <v>0.012526191126901703</v>
      </c>
      <c r="O16" s="33">
        <f t="shared" si="7"/>
        <v>0.0010185343291004244</v>
      </c>
      <c r="P16" s="33">
        <f t="shared" si="8"/>
        <v>0</v>
      </c>
      <c r="Q16" s="33">
        <f t="shared" si="9"/>
        <v>0</v>
      </c>
      <c r="R16" s="37">
        <f t="shared" si="10"/>
        <v>0.0010075178612173779</v>
      </c>
      <c r="S16"/>
      <c r="T16"/>
      <c r="U16"/>
      <c r="V16"/>
      <c r="W16"/>
    </row>
    <row r="17" spans="1:23" s="60" customFormat="1" ht="15.75" customHeight="1">
      <c r="A17" s="28" t="s">
        <v>76</v>
      </c>
      <c r="B17" s="36">
        <v>120</v>
      </c>
      <c r="C17" s="29">
        <v>609</v>
      </c>
      <c r="D17" s="29">
        <v>0</v>
      </c>
      <c r="E17" s="29">
        <f t="shared" si="0"/>
        <v>729</v>
      </c>
      <c r="F17" s="100">
        <v>3307</v>
      </c>
      <c r="G17" s="61">
        <v>0</v>
      </c>
      <c r="H17" s="61">
        <v>0</v>
      </c>
      <c r="I17" s="29">
        <f t="shared" si="1"/>
        <v>3307</v>
      </c>
      <c r="J17" s="32">
        <f aca="true" t="shared" si="11" ref="J17:J23">IF(+E17&gt;0,(+I17-E17)/E17,0)</f>
        <v>3.5363511659807956</v>
      </c>
      <c r="K17" s="33">
        <f t="shared" si="3"/>
        <v>0.007162896197695935</v>
      </c>
      <c r="L17" s="33">
        <f t="shared" si="4"/>
        <v>0.29505813953488375</v>
      </c>
      <c r="M17" s="33">
        <f t="shared" si="5"/>
        <v>0</v>
      </c>
      <c r="N17" s="34">
        <f t="shared" si="6"/>
        <v>0.03320579393276851</v>
      </c>
      <c r="O17" s="33">
        <f t="shared" si="7"/>
        <v>0.009906744195103246</v>
      </c>
      <c r="P17" s="33">
        <f t="shared" si="8"/>
        <v>0</v>
      </c>
      <c r="Q17" s="33">
        <f t="shared" si="9"/>
        <v>0</v>
      </c>
      <c r="R17" s="37">
        <f t="shared" si="10"/>
        <v>0.009799592844252554</v>
      </c>
      <c r="S17"/>
      <c r="T17"/>
      <c r="U17"/>
      <c r="V17"/>
      <c r="W17"/>
    </row>
    <row r="18" spans="1:23" s="60" customFormat="1" ht="15.75" customHeight="1">
      <c r="A18" s="28" t="s">
        <v>11</v>
      </c>
      <c r="B18" s="36">
        <v>0</v>
      </c>
      <c r="C18" s="29">
        <v>0</v>
      </c>
      <c r="D18" s="29">
        <v>301</v>
      </c>
      <c r="E18" s="29">
        <f t="shared" si="0"/>
        <v>301</v>
      </c>
      <c r="F18" s="100">
        <v>0</v>
      </c>
      <c r="G18" s="61">
        <v>0</v>
      </c>
      <c r="H18" s="61">
        <v>355</v>
      </c>
      <c r="I18" s="29">
        <f t="shared" si="1"/>
        <v>355</v>
      </c>
      <c r="J18" s="32">
        <f t="shared" si="11"/>
        <v>0.17940199335548174</v>
      </c>
      <c r="K18" s="33">
        <f t="shared" si="3"/>
        <v>0</v>
      </c>
      <c r="L18" s="33">
        <f t="shared" si="4"/>
        <v>0</v>
      </c>
      <c r="M18" s="33">
        <f t="shared" si="5"/>
        <v>0.09595154606311763</v>
      </c>
      <c r="N18" s="34">
        <f t="shared" si="6"/>
        <v>0.013710485560717864</v>
      </c>
      <c r="O18" s="33">
        <f t="shared" si="7"/>
        <v>0</v>
      </c>
      <c r="P18" s="33">
        <f t="shared" si="8"/>
        <v>0</v>
      </c>
      <c r="Q18" s="33">
        <f t="shared" si="9"/>
        <v>0.12099522835719155</v>
      </c>
      <c r="R18" s="37">
        <f t="shared" si="10"/>
        <v>0.001051967178624027</v>
      </c>
      <c r="S18"/>
      <c r="T18"/>
      <c r="U18"/>
      <c r="V18"/>
      <c r="W18"/>
    </row>
    <row r="19" spans="1:23" s="60" customFormat="1" ht="15.75" customHeight="1">
      <c r="A19" s="28" t="s">
        <v>12</v>
      </c>
      <c r="B19" s="36">
        <v>1864</v>
      </c>
      <c r="C19" s="29">
        <v>0</v>
      </c>
      <c r="D19" s="29">
        <v>0</v>
      </c>
      <c r="E19" s="29">
        <f t="shared" si="0"/>
        <v>1864</v>
      </c>
      <c r="F19" s="100">
        <v>4601</v>
      </c>
      <c r="G19" s="61">
        <v>0</v>
      </c>
      <c r="H19" s="61">
        <v>0</v>
      </c>
      <c r="I19" s="29">
        <f t="shared" si="1"/>
        <v>4601</v>
      </c>
      <c r="J19" s="32">
        <f t="shared" si="11"/>
        <v>1.4683476394849786</v>
      </c>
      <c r="K19" s="33">
        <f t="shared" si="3"/>
        <v>0.11126365427087685</v>
      </c>
      <c r="L19" s="33">
        <f t="shared" si="4"/>
        <v>0</v>
      </c>
      <c r="M19" s="33">
        <f t="shared" si="5"/>
        <v>0</v>
      </c>
      <c r="N19" s="34">
        <f t="shared" si="6"/>
        <v>0.08490480094743555</v>
      </c>
      <c r="O19" s="33">
        <f t="shared" si="7"/>
        <v>0.013783166024091333</v>
      </c>
      <c r="P19" s="33">
        <f t="shared" si="8"/>
        <v>0</v>
      </c>
      <c r="Q19" s="33">
        <f t="shared" si="9"/>
        <v>0</v>
      </c>
      <c r="R19" s="37">
        <f t="shared" si="10"/>
        <v>0.013634087292532812</v>
      </c>
      <c r="S19"/>
      <c r="T19"/>
      <c r="U19"/>
      <c r="V19"/>
      <c r="W19"/>
    </row>
    <row r="20" spans="1:23" s="60" customFormat="1" ht="15.75" customHeight="1">
      <c r="A20" s="28" t="s">
        <v>13</v>
      </c>
      <c r="B20" s="36">
        <v>0</v>
      </c>
      <c r="C20" s="29">
        <v>15</v>
      </c>
      <c r="D20" s="29">
        <v>0</v>
      </c>
      <c r="E20" s="29">
        <f t="shared" si="0"/>
        <v>15</v>
      </c>
      <c r="F20" s="100">
        <v>0</v>
      </c>
      <c r="G20" s="61">
        <v>80</v>
      </c>
      <c r="H20" s="61">
        <v>0</v>
      </c>
      <c r="I20" s="29">
        <f t="shared" si="1"/>
        <v>80</v>
      </c>
      <c r="J20" s="32">
        <f>IF(+E20&gt;0,(+I20-E20)/E20,0)</f>
        <v>4.333333333333333</v>
      </c>
      <c r="K20" s="33">
        <f t="shared" si="3"/>
        <v>0</v>
      </c>
      <c r="L20" s="33">
        <f t="shared" si="4"/>
        <v>0.007267441860465116</v>
      </c>
      <c r="M20" s="33">
        <f t="shared" si="5"/>
        <v>0</v>
      </c>
      <c r="N20" s="34">
        <f t="shared" si="6"/>
        <v>0.000683246788740093</v>
      </c>
      <c r="O20" s="33">
        <f t="shared" si="7"/>
        <v>0</v>
      </c>
      <c r="P20" s="33">
        <f t="shared" si="8"/>
        <v>0.11173184357541899</v>
      </c>
      <c r="Q20" s="33">
        <f t="shared" si="9"/>
        <v>0</v>
      </c>
      <c r="R20" s="37">
        <f t="shared" si="10"/>
        <v>0.0002370630261687948</v>
      </c>
      <c r="S20"/>
      <c r="T20"/>
      <c r="U20"/>
      <c r="V20"/>
      <c r="W20"/>
    </row>
    <row r="21" spans="1:23" s="60" customFormat="1" ht="15.75" customHeight="1">
      <c r="A21" s="28" t="s">
        <v>40</v>
      </c>
      <c r="B21" s="36">
        <v>0</v>
      </c>
      <c r="C21" s="29">
        <v>0</v>
      </c>
      <c r="D21" s="29">
        <v>0</v>
      </c>
      <c r="E21" s="29">
        <f t="shared" si="0"/>
        <v>0</v>
      </c>
      <c r="F21" s="100">
        <v>0</v>
      </c>
      <c r="G21" s="61">
        <v>0</v>
      </c>
      <c r="H21" s="61">
        <v>0</v>
      </c>
      <c r="I21" s="29">
        <f t="shared" si="1"/>
        <v>0</v>
      </c>
      <c r="J21" s="32">
        <f t="shared" si="11"/>
        <v>0</v>
      </c>
      <c r="K21" s="33">
        <f t="shared" si="3"/>
        <v>0</v>
      </c>
      <c r="L21" s="33">
        <f t="shared" si="4"/>
        <v>0</v>
      </c>
      <c r="M21" s="33">
        <f t="shared" si="5"/>
        <v>0</v>
      </c>
      <c r="N21" s="34">
        <f t="shared" si="6"/>
        <v>0</v>
      </c>
      <c r="O21" s="33">
        <f t="shared" si="7"/>
        <v>0</v>
      </c>
      <c r="P21" s="33">
        <f t="shared" si="8"/>
        <v>0</v>
      </c>
      <c r="Q21" s="33">
        <f t="shared" si="9"/>
        <v>0</v>
      </c>
      <c r="R21" s="37">
        <f t="shared" si="10"/>
        <v>0</v>
      </c>
      <c r="S21"/>
      <c r="T21"/>
      <c r="U21"/>
      <c r="V21"/>
      <c r="W21"/>
    </row>
    <row r="22" spans="1:23" s="60" customFormat="1" ht="15.75" customHeight="1">
      <c r="A22" s="28" t="s">
        <v>46</v>
      </c>
      <c r="B22" s="36">
        <v>0</v>
      </c>
      <c r="C22" s="29">
        <v>0</v>
      </c>
      <c r="D22" s="29">
        <v>2836</v>
      </c>
      <c r="E22" s="29">
        <f t="shared" si="0"/>
        <v>2836</v>
      </c>
      <c r="F22" s="100">
        <v>0</v>
      </c>
      <c r="G22" s="61">
        <v>0</v>
      </c>
      <c r="H22" s="98">
        <v>2579</v>
      </c>
      <c r="I22" s="29">
        <f t="shared" si="1"/>
        <v>2579</v>
      </c>
      <c r="J22" s="32">
        <f t="shared" si="11"/>
        <v>-0.09062059238363893</v>
      </c>
      <c r="K22" s="33">
        <f t="shared" si="3"/>
        <v>0</v>
      </c>
      <c r="L22" s="33">
        <f t="shared" si="4"/>
        <v>0</v>
      </c>
      <c r="M22" s="33">
        <f t="shared" si="5"/>
        <v>0.9040484539368824</v>
      </c>
      <c r="N22" s="34">
        <f t="shared" si="6"/>
        <v>0.12917919285779356</v>
      </c>
      <c r="O22" s="33">
        <f t="shared" si="7"/>
        <v>0</v>
      </c>
      <c r="P22" s="33">
        <f t="shared" si="8"/>
        <v>0</v>
      </c>
      <c r="Q22" s="33">
        <f t="shared" si="9"/>
        <v>0.8790047716428084</v>
      </c>
      <c r="R22" s="37">
        <f t="shared" si="10"/>
        <v>0.007642319306116523</v>
      </c>
      <c r="S22"/>
      <c r="T22"/>
      <c r="U22"/>
      <c r="V22"/>
      <c r="W22"/>
    </row>
    <row r="23" spans="1:23" s="60" customFormat="1" ht="15.75" customHeight="1">
      <c r="A23" s="28" t="s">
        <v>37</v>
      </c>
      <c r="B23" s="36">
        <v>8575</v>
      </c>
      <c r="C23" s="29">
        <v>2</v>
      </c>
      <c r="D23" s="29">
        <v>0</v>
      </c>
      <c r="E23" s="29">
        <f t="shared" si="0"/>
        <v>8577</v>
      </c>
      <c r="F23" s="100">
        <v>1061</v>
      </c>
      <c r="G23" s="61">
        <v>3</v>
      </c>
      <c r="H23" s="61">
        <v>0</v>
      </c>
      <c r="I23" s="29">
        <f t="shared" si="1"/>
        <v>1064</v>
      </c>
      <c r="J23" s="32">
        <f t="shared" si="11"/>
        <v>-0.875947300921068</v>
      </c>
      <c r="K23" s="33">
        <f t="shared" si="3"/>
        <v>0.511848624127022</v>
      </c>
      <c r="L23" s="33">
        <f t="shared" si="4"/>
        <v>0.0009689922480620155</v>
      </c>
      <c r="M23" s="33">
        <f t="shared" si="5"/>
        <v>0</v>
      </c>
      <c r="N23" s="34">
        <f t="shared" si="6"/>
        <v>0.39068051380158514</v>
      </c>
      <c r="O23" s="33">
        <f t="shared" si="7"/>
        <v>0.0031784262446339718</v>
      </c>
      <c r="P23" s="33">
        <f t="shared" si="8"/>
        <v>0.004189944134078212</v>
      </c>
      <c r="Q23" s="33">
        <f t="shared" si="9"/>
        <v>0</v>
      </c>
      <c r="R23" s="37">
        <f t="shared" si="10"/>
        <v>0.003152938248044971</v>
      </c>
      <c r="S23"/>
      <c r="T23"/>
      <c r="U23"/>
      <c r="V23"/>
      <c r="W23"/>
    </row>
    <row r="24" spans="1:18" ht="15.75" customHeight="1" thickBot="1">
      <c r="A24" s="7"/>
      <c r="B24" s="8"/>
      <c r="C24" s="8"/>
      <c r="D24" s="8"/>
      <c r="E24" s="8"/>
      <c r="F24" s="13"/>
      <c r="G24" s="8"/>
      <c r="H24" s="8"/>
      <c r="I24" s="8"/>
      <c r="J24" s="6"/>
      <c r="K24" s="10" t="s">
        <v>25</v>
      </c>
      <c r="L24" s="10" t="s">
        <v>25</v>
      </c>
      <c r="M24" s="10"/>
      <c r="N24" s="11" t="s">
        <v>25</v>
      </c>
      <c r="O24" s="10" t="s">
        <v>25</v>
      </c>
      <c r="P24" s="10" t="s">
        <v>25</v>
      </c>
      <c r="Q24" s="10"/>
      <c r="R24" s="12" t="s">
        <v>25</v>
      </c>
    </row>
    <row r="25" spans="1:18" ht="15.75" customHeight="1" thickBot="1">
      <c r="A25" s="14" t="s">
        <v>15</v>
      </c>
      <c r="B25" s="15">
        <f aca="true" t="shared" si="12" ref="B25:I25">SUM(B10:B23)</f>
        <v>16753</v>
      </c>
      <c r="C25" s="15">
        <f t="shared" si="12"/>
        <v>2064</v>
      </c>
      <c r="D25" s="15">
        <f t="shared" si="12"/>
        <v>3137</v>
      </c>
      <c r="E25" s="16">
        <f t="shared" si="12"/>
        <v>21954</v>
      </c>
      <c r="F25" s="15">
        <f t="shared" si="12"/>
        <v>333813</v>
      </c>
      <c r="G25" s="15">
        <f t="shared" si="12"/>
        <v>716</v>
      </c>
      <c r="H25" s="15">
        <f t="shared" si="12"/>
        <v>2934</v>
      </c>
      <c r="I25" s="15">
        <f t="shared" si="12"/>
        <v>337463</v>
      </c>
      <c r="J25" s="17">
        <f>IF(+E25&gt;0,(+I25-E25)/E25,0)</f>
        <v>14.3713674045732</v>
      </c>
      <c r="K25" s="18">
        <f aca="true" t="shared" si="13" ref="K25:R25">SUM(K10:K23)</f>
        <v>1</v>
      </c>
      <c r="L25" s="18">
        <f t="shared" si="13"/>
        <v>1</v>
      </c>
      <c r="M25" s="18">
        <f t="shared" si="13"/>
        <v>1</v>
      </c>
      <c r="N25" s="19">
        <f t="shared" si="13"/>
        <v>1</v>
      </c>
      <c r="O25" s="18">
        <f t="shared" si="13"/>
        <v>0.9999999999999999</v>
      </c>
      <c r="P25" s="18">
        <f t="shared" si="13"/>
        <v>1</v>
      </c>
      <c r="Q25" s="18">
        <f t="shared" si="13"/>
        <v>1</v>
      </c>
      <c r="R25" s="20">
        <f t="shared" si="13"/>
        <v>0.9999999999999999</v>
      </c>
    </row>
    <row r="26" spans="1:23" ht="15.75" customHeight="1">
      <c r="A26" s="99" t="s">
        <v>86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>
      <c r="A27" s="99" t="s">
        <v>83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9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>
      <c r="A29" s="1"/>
      <c r="B29" s="2" t="s">
        <v>72</v>
      </c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thickBot="1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>
      <c r="A31" s="38" t="s">
        <v>25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82"/>
      <c r="S31" s="1"/>
      <c r="T31" s="1"/>
      <c r="U31" s="1"/>
      <c r="V31" s="1"/>
      <c r="W31" s="1"/>
    </row>
    <row r="32" spans="1:14" ht="15.75" customHeight="1">
      <c r="A32" s="45"/>
      <c r="B32" s="42"/>
      <c r="C32" s="42" t="s">
        <v>57</v>
      </c>
      <c r="D32" s="42"/>
      <c r="E32" s="42"/>
      <c r="F32" s="42"/>
      <c r="G32" s="42"/>
      <c r="H32" s="43"/>
      <c r="I32" s="42"/>
      <c r="J32" s="42"/>
      <c r="K32" s="42"/>
      <c r="L32" s="42"/>
      <c r="M32" s="42"/>
      <c r="N32" s="57"/>
    </row>
    <row r="33" spans="1:14" ht="15.75" customHeight="1">
      <c r="A33" s="45"/>
      <c r="B33" s="42"/>
      <c r="C33" s="56">
        <f>+C7</f>
        <v>2007</v>
      </c>
      <c r="D33" s="46"/>
      <c r="E33" s="42"/>
      <c r="F33" s="56">
        <f>+G7</f>
        <v>2008</v>
      </c>
      <c r="G33" s="42"/>
      <c r="H33" s="47" t="s">
        <v>7</v>
      </c>
      <c r="I33" s="42"/>
      <c r="J33" s="56">
        <f>+C33</f>
        <v>2007</v>
      </c>
      <c r="K33" s="46"/>
      <c r="L33" s="42"/>
      <c r="M33" s="56">
        <f>+F33</f>
        <v>2008</v>
      </c>
      <c r="N33" s="57"/>
    </row>
    <row r="34" spans="1:14" ht="15.75" customHeight="1" thickBot="1">
      <c r="A34" s="48" t="s">
        <v>2</v>
      </c>
      <c r="B34" s="51" t="s">
        <v>56</v>
      </c>
      <c r="C34" s="51" t="s">
        <v>50</v>
      </c>
      <c r="D34" s="52" t="s">
        <v>6</v>
      </c>
      <c r="E34" s="51" t="s">
        <v>56</v>
      </c>
      <c r="F34" s="51" t="s">
        <v>50</v>
      </c>
      <c r="G34" s="51" t="s">
        <v>6</v>
      </c>
      <c r="H34" s="53" t="s">
        <v>8</v>
      </c>
      <c r="I34" s="51" t="s">
        <v>56</v>
      </c>
      <c r="J34" s="51" t="str">
        <f>+F34</f>
        <v>Retro</v>
      </c>
      <c r="K34" s="52" t="s">
        <v>6</v>
      </c>
      <c r="L34" s="51" t="s">
        <v>56</v>
      </c>
      <c r="M34" s="51" t="str">
        <f>+J34</f>
        <v>Retro</v>
      </c>
      <c r="N34" s="58" t="s">
        <v>6</v>
      </c>
    </row>
    <row r="35" spans="1:14" ht="15.75" customHeight="1" thickTop="1">
      <c r="A35" s="28"/>
      <c r="B35" s="61"/>
      <c r="C35" s="61"/>
      <c r="D35" s="62"/>
      <c r="E35" s="61"/>
      <c r="F35" s="61"/>
      <c r="G35" s="61"/>
      <c r="H35" s="70"/>
      <c r="I35" s="61"/>
      <c r="J35" s="61"/>
      <c r="K35" s="62"/>
      <c r="L35" s="61"/>
      <c r="M35" s="61"/>
      <c r="N35" s="73"/>
    </row>
    <row r="36" spans="1:14" ht="15.75" customHeight="1">
      <c r="A36" s="28" t="str">
        <f aca="true" t="shared" si="14" ref="A36:A42">+A10</f>
        <v>ACE Tempest</v>
      </c>
      <c r="B36" s="61">
        <v>44</v>
      </c>
      <c r="C36" s="61">
        <v>0</v>
      </c>
      <c r="D36" s="30">
        <f>+C36+B36</f>
        <v>44</v>
      </c>
      <c r="E36" s="101">
        <v>108</v>
      </c>
      <c r="F36" s="61">
        <v>0</v>
      </c>
      <c r="G36" s="29">
        <f>+E36+F36</f>
        <v>108</v>
      </c>
      <c r="H36" s="32">
        <f>IF(+D36&gt;0,(+G36-D36)/D36,0)</f>
        <v>1.4545454545454546</v>
      </c>
      <c r="I36" s="33">
        <f aca="true" t="shared" si="15" ref="I36:I49">+B36/B$51</f>
        <v>0.000309136385352556</v>
      </c>
      <c r="J36" s="33">
        <f aca="true" t="shared" si="16" ref="J36:J49">+C36/C$51</f>
        <v>0</v>
      </c>
      <c r="K36" s="34">
        <f aca="true" t="shared" si="17" ref="K36:K49">+D36/D$51</f>
        <v>0.00026262385102065176</v>
      </c>
      <c r="L36" s="33">
        <f aca="true" t="shared" si="18" ref="L36:L49">+E36/E$51</f>
        <v>0.00023791166428020706</v>
      </c>
      <c r="M36" s="33">
        <f aca="true" t="shared" si="19" ref="M36:M49">+F36/F$51</f>
        <v>0</v>
      </c>
      <c r="N36" s="37">
        <f aca="true" t="shared" si="20" ref="N36:N49">+G36/G$51</f>
        <v>0.00022483886547973952</v>
      </c>
    </row>
    <row r="37" spans="1:14" ht="15.75" customHeight="1">
      <c r="A37" s="28" t="str">
        <f t="shared" si="14"/>
        <v>Canada Life *</v>
      </c>
      <c r="B37" s="36">
        <v>718</v>
      </c>
      <c r="C37" s="29">
        <v>0</v>
      </c>
      <c r="D37" s="29">
        <f>+C37+B37</f>
        <v>718</v>
      </c>
      <c r="E37" s="102">
        <v>290294</v>
      </c>
      <c r="F37" s="61">
        <v>0</v>
      </c>
      <c r="G37" s="29">
        <f>+E37+F37</f>
        <v>290294</v>
      </c>
      <c r="H37" s="32">
        <f aca="true" t="shared" si="21" ref="H37:H49">IF(+D37&gt;0,(+G37-D37)/D37,0)</f>
        <v>403.3091922005571</v>
      </c>
      <c r="I37" s="33">
        <f t="shared" si="15"/>
        <v>0.005044543742798527</v>
      </c>
      <c r="J37" s="33">
        <f t="shared" si="16"/>
        <v>0</v>
      </c>
      <c r="K37" s="34">
        <f t="shared" si="17"/>
        <v>0.0042855437507460905</v>
      </c>
      <c r="L37" s="33">
        <f t="shared" si="18"/>
        <v>0.6394845247273929</v>
      </c>
      <c r="M37" s="33">
        <f t="shared" si="19"/>
        <v>0</v>
      </c>
      <c r="N37" s="37">
        <f t="shared" si="20"/>
        <v>0.6043460519960695</v>
      </c>
    </row>
    <row r="38" spans="1:14" ht="15.75" customHeight="1">
      <c r="A38" s="28" t="str">
        <f t="shared" si="14"/>
        <v>Employers Re. Corp. </v>
      </c>
      <c r="B38" s="36">
        <v>590</v>
      </c>
      <c r="C38" s="29">
        <v>0</v>
      </c>
      <c r="D38" s="29">
        <f aca="true" t="shared" si="22" ref="D38:D49">+C38+B38</f>
        <v>590</v>
      </c>
      <c r="E38" s="102">
        <v>426</v>
      </c>
      <c r="F38" s="61">
        <v>0</v>
      </c>
      <c r="G38" s="29">
        <f aca="true" t="shared" si="23" ref="G38:G49">+E38+F38</f>
        <v>426</v>
      </c>
      <c r="H38" s="32">
        <f t="shared" si="21"/>
        <v>-0.27796610169491526</v>
      </c>
      <c r="I38" s="33">
        <f t="shared" si="15"/>
        <v>0.004145237894500183</v>
      </c>
      <c r="J38" s="33">
        <f t="shared" si="16"/>
        <v>0</v>
      </c>
      <c r="K38" s="34">
        <f t="shared" si="17"/>
        <v>0.003521547093231467</v>
      </c>
      <c r="L38" s="33">
        <f t="shared" si="18"/>
        <v>0.0009384293424385946</v>
      </c>
      <c r="M38" s="33">
        <f t="shared" si="19"/>
        <v>0</v>
      </c>
      <c r="N38" s="37">
        <f t="shared" si="20"/>
        <v>0.0008868644138367504</v>
      </c>
    </row>
    <row r="39" spans="1:14" ht="15.75" customHeight="1">
      <c r="A39" s="28" t="str">
        <f t="shared" si="14"/>
        <v>General Re Life</v>
      </c>
      <c r="B39" s="36">
        <v>5226</v>
      </c>
      <c r="C39" s="29">
        <v>0</v>
      </c>
      <c r="D39" s="29">
        <f t="shared" si="22"/>
        <v>5226</v>
      </c>
      <c r="E39" s="102">
        <v>5772</v>
      </c>
      <c r="F39" s="61">
        <v>0</v>
      </c>
      <c r="G39" s="29">
        <f t="shared" si="23"/>
        <v>5772</v>
      </c>
      <c r="H39" s="32">
        <f t="shared" si="21"/>
        <v>0.1044776119402985</v>
      </c>
      <c r="I39" s="33">
        <f t="shared" si="15"/>
        <v>0.03671697158755585</v>
      </c>
      <c r="J39" s="33">
        <f t="shared" si="16"/>
        <v>0</v>
      </c>
      <c r="K39" s="34">
        <f t="shared" si="17"/>
        <v>0.031192551032589232</v>
      </c>
      <c r="L39" s="33">
        <f t="shared" si="18"/>
        <v>0.012715056724308844</v>
      </c>
      <c r="M39" s="33">
        <f t="shared" si="19"/>
        <v>0</v>
      </c>
      <c r="N39" s="37">
        <f t="shared" si="20"/>
        <v>0.012016388255083856</v>
      </c>
    </row>
    <row r="40" spans="1:14" ht="15.75" customHeight="1">
      <c r="A40" s="28" t="str">
        <f t="shared" si="14"/>
        <v>Generali USA Life Re**</v>
      </c>
      <c r="B40" s="36">
        <v>3897</v>
      </c>
      <c r="C40" s="29">
        <v>0</v>
      </c>
      <c r="D40" s="29">
        <f t="shared" si="22"/>
        <v>3897</v>
      </c>
      <c r="E40" s="102">
        <v>30665</v>
      </c>
      <c r="F40" s="61">
        <v>0</v>
      </c>
      <c r="G40" s="29">
        <f t="shared" si="23"/>
        <v>30665</v>
      </c>
      <c r="H40" s="32">
        <f t="shared" si="21"/>
        <v>6.868873492430074</v>
      </c>
      <c r="I40" s="33">
        <f t="shared" si="15"/>
        <v>0.0273796475845207</v>
      </c>
      <c r="J40" s="33">
        <f t="shared" si="16"/>
        <v>0</v>
      </c>
      <c r="K40" s="34">
        <f t="shared" si="17"/>
        <v>0.023260116986988183</v>
      </c>
      <c r="L40" s="33">
        <f t="shared" si="18"/>
        <v>0.0675514924551162</v>
      </c>
      <c r="M40" s="33">
        <f t="shared" si="19"/>
        <v>0</v>
      </c>
      <c r="N40" s="37">
        <f t="shared" si="20"/>
        <v>0.06383966490681678</v>
      </c>
    </row>
    <row r="41" spans="1:14" ht="15.75" customHeight="1">
      <c r="A41" s="28" t="str">
        <f t="shared" si="14"/>
        <v>Group Reinsurance Plus (Hartford)</v>
      </c>
      <c r="B41" s="36">
        <v>30108</v>
      </c>
      <c r="C41" s="29">
        <v>0</v>
      </c>
      <c r="D41" s="29">
        <f t="shared" si="22"/>
        <v>30108</v>
      </c>
      <c r="E41" s="102">
        <v>25759</v>
      </c>
      <c r="F41" s="61">
        <v>0</v>
      </c>
      <c r="G41" s="29">
        <f t="shared" si="23"/>
        <v>25759</v>
      </c>
      <c r="H41" s="32">
        <f t="shared" si="21"/>
        <v>-0.14444665869536336</v>
      </c>
      <c r="I41" s="33">
        <f t="shared" si="15"/>
        <v>0.21153359750442627</v>
      </c>
      <c r="J41" s="33">
        <f t="shared" si="16"/>
        <v>0</v>
      </c>
      <c r="K41" s="34">
        <f t="shared" si="17"/>
        <v>0.17970633878476783</v>
      </c>
      <c r="L41" s="33">
        <f t="shared" si="18"/>
        <v>0.05674413481660976</v>
      </c>
      <c r="M41" s="33">
        <f t="shared" si="19"/>
        <v>0</v>
      </c>
      <c r="N41" s="37">
        <f t="shared" si="20"/>
        <v>0.05362615125826491</v>
      </c>
    </row>
    <row r="42" spans="1:14" ht="15.75" customHeight="1">
      <c r="A42" s="28" t="str">
        <f t="shared" si="14"/>
        <v>Hannover Life Re</v>
      </c>
      <c r="B42" s="36">
        <v>658</v>
      </c>
      <c r="C42" s="29">
        <v>0</v>
      </c>
      <c r="D42" s="29">
        <f>+C42+B42</f>
        <v>658</v>
      </c>
      <c r="E42" s="102">
        <v>932</v>
      </c>
      <c r="F42" s="61">
        <v>0</v>
      </c>
      <c r="G42" s="29">
        <f>+E42+F42</f>
        <v>932</v>
      </c>
      <c r="H42" s="32">
        <f>IF(+D42&gt;0,(+G42-D42)/D42,0)</f>
        <v>0.41641337386018235</v>
      </c>
      <c r="I42" s="33">
        <f t="shared" si="15"/>
        <v>0.004622994126408679</v>
      </c>
      <c r="J42" s="33">
        <f t="shared" si="16"/>
        <v>0</v>
      </c>
      <c r="K42" s="34">
        <f t="shared" si="17"/>
        <v>0.003927420317536111</v>
      </c>
      <c r="L42" s="33">
        <f t="shared" si="18"/>
        <v>0.002053089547306972</v>
      </c>
      <c r="M42" s="33">
        <f t="shared" si="19"/>
        <v>0</v>
      </c>
      <c r="N42" s="37">
        <f t="shared" si="20"/>
        <v>0.0019402761354362706</v>
      </c>
    </row>
    <row r="43" spans="1:14" ht="15.75" customHeight="1">
      <c r="A43" s="28" t="str">
        <f aca="true" t="shared" si="24" ref="A43:A49">+A17</f>
        <v>ING Reinsurance</v>
      </c>
      <c r="B43" s="36">
        <v>31429</v>
      </c>
      <c r="C43" s="29">
        <v>0</v>
      </c>
      <c r="D43" s="29">
        <f t="shared" si="22"/>
        <v>31429</v>
      </c>
      <c r="E43" s="102">
        <v>34215</v>
      </c>
      <c r="F43" s="61">
        <v>0</v>
      </c>
      <c r="G43" s="29">
        <f t="shared" si="23"/>
        <v>34215</v>
      </c>
      <c r="H43" s="32">
        <f t="shared" si="21"/>
        <v>0.08864424576028508</v>
      </c>
      <c r="I43" s="33">
        <f t="shared" si="15"/>
        <v>0.2208147148919428</v>
      </c>
      <c r="J43" s="33">
        <f t="shared" si="16"/>
        <v>0</v>
      </c>
      <c r="K43" s="34">
        <f t="shared" si="17"/>
        <v>0.1875910230392742</v>
      </c>
      <c r="L43" s="33">
        <f t="shared" si="18"/>
        <v>0.07537173697543782</v>
      </c>
      <c r="M43" s="33">
        <f t="shared" si="19"/>
        <v>0</v>
      </c>
      <c r="N43" s="37">
        <f t="shared" si="20"/>
        <v>0.0712302016887897</v>
      </c>
    </row>
    <row r="44" spans="1:14" ht="15.75" customHeight="1">
      <c r="A44" s="28" t="str">
        <f t="shared" si="24"/>
        <v>Manufacturers Life</v>
      </c>
      <c r="B44" s="36">
        <v>0</v>
      </c>
      <c r="C44" s="29">
        <v>257</v>
      </c>
      <c r="D44" s="29">
        <f t="shared" si="22"/>
        <v>257</v>
      </c>
      <c r="E44" s="102">
        <v>0</v>
      </c>
      <c r="F44" s="61">
        <v>204</v>
      </c>
      <c r="G44" s="29">
        <f t="shared" si="23"/>
        <v>204</v>
      </c>
      <c r="H44" s="32">
        <f t="shared" si="21"/>
        <v>-0.20622568093385213</v>
      </c>
      <c r="I44" s="33">
        <f t="shared" si="15"/>
        <v>0</v>
      </c>
      <c r="J44" s="33">
        <f t="shared" si="16"/>
        <v>0.010195176134560457</v>
      </c>
      <c r="K44" s="34">
        <f t="shared" si="17"/>
        <v>0.0015339620389160798</v>
      </c>
      <c r="L44" s="33">
        <f t="shared" si="18"/>
        <v>0</v>
      </c>
      <c r="M44" s="33">
        <f t="shared" si="19"/>
        <v>0.008036875073868337</v>
      </c>
      <c r="N44" s="37">
        <f t="shared" si="20"/>
        <v>0.0004246956347950635</v>
      </c>
    </row>
    <row r="45" spans="1:14" ht="15.75" customHeight="1">
      <c r="A45" s="28" t="str">
        <f t="shared" si="24"/>
        <v>Munich American Re</v>
      </c>
      <c r="B45" s="36">
        <v>20260</v>
      </c>
      <c r="C45" s="29">
        <v>0</v>
      </c>
      <c r="D45" s="29">
        <f t="shared" si="22"/>
        <v>20260</v>
      </c>
      <c r="E45" s="102">
        <v>24125</v>
      </c>
      <c r="F45" s="61">
        <v>0</v>
      </c>
      <c r="G45" s="29">
        <f t="shared" si="23"/>
        <v>24125</v>
      </c>
      <c r="H45" s="32">
        <f t="shared" si="21"/>
        <v>0.19076999012833168</v>
      </c>
      <c r="I45" s="33">
        <f t="shared" si="15"/>
        <v>0.14234325380097237</v>
      </c>
      <c r="J45" s="33">
        <f t="shared" si="16"/>
        <v>0</v>
      </c>
      <c r="K45" s="34">
        <f t="shared" si="17"/>
        <v>0.12092634594723647</v>
      </c>
      <c r="L45" s="33">
        <f t="shared" si="18"/>
        <v>0.05314461945148144</v>
      </c>
      <c r="M45" s="33">
        <f t="shared" si="19"/>
        <v>0</v>
      </c>
      <c r="N45" s="37">
        <f t="shared" si="20"/>
        <v>0.05022442249721033</v>
      </c>
    </row>
    <row r="46" spans="1:14" ht="15.75" customHeight="1">
      <c r="A46" s="28" t="str">
        <f t="shared" si="24"/>
        <v>Optimum Re (US)</v>
      </c>
      <c r="B46" s="36">
        <v>931</v>
      </c>
      <c r="C46" s="29">
        <v>0</v>
      </c>
      <c r="D46" s="29">
        <f t="shared" si="22"/>
        <v>931</v>
      </c>
      <c r="E46" s="102">
        <v>0</v>
      </c>
      <c r="F46" s="61">
        <v>0</v>
      </c>
      <c r="G46" s="29">
        <v>1011</v>
      </c>
      <c r="H46" s="32">
        <f t="shared" si="21"/>
        <v>0.08592910848549946</v>
      </c>
      <c r="I46" s="33">
        <f t="shared" si="15"/>
        <v>0.006541044880982492</v>
      </c>
      <c r="J46" s="33">
        <f t="shared" si="16"/>
        <v>0</v>
      </c>
      <c r="K46" s="34">
        <f t="shared" si="17"/>
        <v>0.005556881938641518</v>
      </c>
      <c r="L46" s="33">
        <f t="shared" si="18"/>
        <v>0</v>
      </c>
      <c r="M46" s="33">
        <f t="shared" si="19"/>
        <v>0</v>
      </c>
      <c r="N46" s="37">
        <f t="shared" si="20"/>
        <v>0.002104741601852006</v>
      </c>
    </row>
    <row r="47" spans="1:14" ht="15.75" customHeight="1">
      <c r="A47" s="28" t="str">
        <f t="shared" si="24"/>
        <v>Scottish Re</v>
      </c>
      <c r="B47" s="36">
        <v>84</v>
      </c>
      <c r="C47" s="29">
        <v>0</v>
      </c>
      <c r="D47" s="29">
        <f t="shared" si="22"/>
        <v>84</v>
      </c>
      <c r="E47" s="102">
        <v>81</v>
      </c>
      <c r="F47" s="61">
        <v>0</v>
      </c>
      <c r="G47" s="29">
        <f t="shared" si="23"/>
        <v>81</v>
      </c>
      <c r="H47" s="32">
        <f t="shared" si="21"/>
        <v>-0.03571428571428571</v>
      </c>
      <c r="I47" s="33">
        <f t="shared" si="15"/>
        <v>0.0005901694629457887</v>
      </c>
      <c r="J47" s="33">
        <f t="shared" si="16"/>
        <v>0</v>
      </c>
      <c r="K47" s="34">
        <f t="shared" si="17"/>
        <v>0.0005013728064939716</v>
      </c>
      <c r="L47" s="33">
        <f t="shared" si="18"/>
        <v>0.0001784337482101553</v>
      </c>
      <c r="M47" s="33">
        <f t="shared" si="19"/>
        <v>0</v>
      </c>
      <c r="N47" s="37">
        <f t="shared" si="20"/>
        <v>0.00016862914910980464</v>
      </c>
    </row>
    <row r="48" spans="1:14" ht="15.75" customHeight="1">
      <c r="A48" s="28" t="str">
        <f t="shared" si="24"/>
        <v>Sun Life </v>
      </c>
      <c r="B48" s="36">
        <v>0</v>
      </c>
      <c r="C48" s="29">
        <v>22368</v>
      </c>
      <c r="D48" s="29">
        <f t="shared" si="22"/>
        <v>22368</v>
      </c>
      <c r="E48" s="102">
        <v>0</v>
      </c>
      <c r="F48" s="98">
        <v>22841</v>
      </c>
      <c r="G48" s="29">
        <f t="shared" si="23"/>
        <v>22841</v>
      </c>
      <c r="H48" s="32">
        <f t="shared" si="21"/>
        <v>0.021146280400572245</v>
      </c>
      <c r="I48" s="33">
        <f t="shared" si="15"/>
        <v>0</v>
      </c>
      <c r="J48" s="33">
        <f t="shared" si="16"/>
        <v>0.8873373532211997</v>
      </c>
      <c r="K48" s="34">
        <f t="shared" si="17"/>
        <v>0.13350841590068044</v>
      </c>
      <c r="L48" s="33">
        <f t="shared" si="18"/>
        <v>0</v>
      </c>
      <c r="M48" s="33">
        <f t="shared" si="19"/>
        <v>0.89985423314817</v>
      </c>
      <c r="N48" s="37">
        <f t="shared" si="20"/>
        <v>0.04755133820761787</v>
      </c>
    </row>
    <row r="49" spans="1:14" ht="15.75" customHeight="1">
      <c r="A49" s="28" t="str">
        <f t="shared" si="24"/>
        <v>Swiss Re </v>
      </c>
      <c r="B49" s="36">
        <v>48387</v>
      </c>
      <c r="C49" s="29">
        <v>2583</v>
      </c>
      <c r="D49" s="29">
        <f t="shared" si="22"/>
        <v>50970</v>
      </c>
      <c r="E49" s="102">
        <v>41573</v>
      </c>
      <c r="F49" s="61">
        <v>2338</v>
      </c>
      <c r="G49" s="29">
        <f t="shared" si="23"/>
        <v>43911</v>
      </c>
      <c r="H49" s="32">
        <f t="shared" si="21"/>
        <v>-0.1384932313125368</v>
      </c>
      <c r="I49" s="33">
        <f t="shared" si="15"/>
        <v>0.3399586881375938</v>
      </c>
      <c r="J49" s="33">
        <f t="shared" si="16"/>
        <v>0.10246747064423993</v>
      </c>
      <c r="K49" s="34">
        <f t="shared" si="17"/>
        <v>0.3042258565118778</v>
      </c>
      <c r="L49" s="33">
        <f t="shared" si="18"/>
        <v>0.09158057054741711</v>
      </c>
      <c r="M49" s="33">
        <f t="shared" si="19"/>
        <v>0.09210889177796162</v>
      </c>
      <c r="N49" s="37">
        <f t="shared" si="20"/>
        <v>0.09141573538963743</v>
      </c>
    </row>
    <row r="50" spans="1:14" ht="15.75" customHeight="1" thickBot="1">
      <c r="A50" s="7"/>
      <c r="B50" s="8"/>
      <c r="C50" s="8"/>
      <c r="D50" s="8"/>
      <c r="E50" s="13"/>
      <c r="F50" s="8"/>
      <c r="G50" s="8"/>
      <c r="H50" s="6"/>
      <c r="I50" s="10" t="s">
        <v>25</v>
      </c>
      <c r="J50" s="10"/>
      <c r="K50" s="11" t="s">
        <v>25</v>
      </c>
      <c r="L50" s="10" t="s">
        <v>25</v>
      </c>
      <c r="M50" s="10"/>
      <c r="N50" s="83" t="s">
        <v>25</v>
      </c>
    </row>
    <row r="51" spans="1:14" ht="15.75" customHeight="1" thickBot="1">
      <c r="A51" s="14" t="s">
        <v>15</v>
      </c>
      <c r="B51" s="15">
        <f aca="true" t="shared" si="25" ref="B51:G51">SUM(B36:B49)</f>
        <v>142332</v>
      </c>
      <c r="C51" s="15">
        <f t="shared" si="25"/>
        <v>25208</v>
      </c>
      <c r="D51" s="16">
        <f t="shared" si="25"/>
        <v>167540</v>
      </c>
      <c r="E51" s="15">
        <f t="shared" si="25"/>
        <v>453950</v>
      </c>
      <c r="F51" s="15">
        <f t="shared" si="25"/>
        <v>25383</v>
      </c>
      <c r="G51" s="15">
        <f t="shared" si="25"/>
        <v>480344</v>
      </c>
      <c r="H51" s="17">
        <f>IF(+D51&gt;0,(+G51-D51)/D51,0)</f>
        <v>1.8670407066969081</v>
      </c>
      <c r="I51" s="18">
        <f aca="true" t="shared" si="26" ref="I51:N51">SUM(I36:I49)</f>
        <v>0.9999999999999999</v>
      </c>
      <c r="J51" s="18">
        <f t="shared" si="26"/>
        <v>1</v>
      </c>
      <c r="K51" s="19">
        <f t="shared" si="26"/>
        <v>1</v>
      </c>
      <c r="L51" s="18">
        <f t="shared" si="26"/>
        <v>1</v>
      </c>
      <c r="M51" s="18">
        <f t="shared" si="26"/>
        <v>1</v>
      </c>
      <c r="N51" s="20">
        <f t="shared" si="26"/>
        <v>1</v>
      </c>
    </row>
    <row r="52" ht="15.75" customHeight="1">
      <c r="A52" s="99" t="s">
        <v>88</v>
      </c>
    </row>
    <row r="53" ht="15.75" customHeight="1">
      <c r="A53" s="99" t="s">
        <v>87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PageLayoutView="0" workbookViewId="0" topLeftCell="A1">
      <selection activeCell="D17" sqref="D17"/>
    </sheetView>
  </sheetViews>
  <sheetFormatPr defaultColWidth="9.140625" defaultRowHeight="15.75" customHeight="1"/>
  <cols>
    <col min="1" max="1" width="33.28125" style="0" customWidth="1"/>
    <col min="2" max="2" width="11.28125" style="0" bestFit="1" customWidth="1"/>
    <col min="8" max="8" width="12.00390625" style="0" customWidth="1"/>
    <col min="10" max="10" width="12.28125" style="0" customWidth="1"/>
    <col min="15" max="15" width="9.8515625" style="0" customWidth="1"/>
    <col min="25" max="25" width="11.28125" style="0" customWidth="1"/>
    <col min="26" max="27" width="9.7109375" style="0" bestFit="1" customWidth="1"/>
  </cols>
  <sheetData>
    <row r="1" spans="1:27" ht="15.75" customHeight="1">
      <c r="A1" s="1" t="s">
        <v>18</v>
      </c>
      <c r="B1" s="59">
        <f>+canord!B28</f>
        <v>39912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1"/>
      <c r="B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1"/>
      <c r="B3" s="2" t="s">
        <v>73</v>
      </c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thickBot="1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18" ht="15.75" customHeight="1">
      <c r="A5" s="38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82"/>
    </row>
    <row r="6" spans="1:18" ht="15.75" customHeight="1">
      <c r="A6" s="45"/>
      <c r="B6" s="42"/>
      <c r="C6" s="42" t="s">
        <v>59</v>
      </c>
      <c r="D6" s="42"/>
      <c r="E6" s="42"/>
      <c r="F6" s="42"/>
      <c r="G6" s="42"/>
      <c r="H6" s="42"/>
      <c r="I6" s="42"/>
      <c r="J6" s="43"/>
      <c r="K6" s="42"/>
      <c r="L6" s="42" t="s">
        <v>60</v>
      </c>
      <c r="M6" s="42"/>
      <c r="N6" s="42"/>
      <c r="O6" s="42"/>
      <c r="P6" s="42"/>
      <c r="Q6" s="42"/>
      <c r="R6" s="57"/>
    </row>
    <row r="7" spans="1:18" ht="15.75" customHeight="1">
      <c r="A7" s="45"/>
      <c r="B7" s="42"/>
      <c r="C7" s="42">
        <f>+usgroup!C7</f>
        <v>2007</v>
      </c>
      <c r="D7" s="42"/>
      <c r="E7" s="46"/>
      <c r="F7" s="42"/>
      <c r="G7" s="42">
        <f>+usgroup!G7</f>
        <v>2008</v>
      </c>
      <c r="H7" s="42"/>
      <c r="I7" s="42"/>
      <c r="J7" s="47" t="s">
        <v>7</v>
      </c>
      <c r="K7" s="42"/>
      <c r="L7" s="42">
        <f>+C7</f>
        <v>2007</v>
      </c>
      <c r="M7" s="42"/>
      <c r="N7" s="46"/>
      <c r="O7" s="42"/>
      <c r="P7" s="42">
        <f>+G7</f>
        <v>2008</v>
      </c>
      <c r="Q7" s="42"/>
      <c r="R7" s="57"/>
    </row>
    <row r="8" spans="1:18" ht="15.75" customHeight="1" thickBot="1">
      <c r="A8" s="48" t="s">
        <v>2</v>
      </c>
      <c r="B8" s="51" t="s">
        <v>19</v>
      </c>
      <c r="C8" s="51" t="s">
        <v>20</v>
      </c>
      <c r="D8" s="51" t="s">
        <v>50</v>
      </c>
      <c r="E8" s="52" t="s">
        <v>6</v>
      </c>
      <c r="F8" s="51" t="s">
        <v>19</v>
      </c>
      <c r="G8" s="51" t="s">
        <v>20</v>
      </c>
      <c r="H8" s="51" t="str">
        <f>+D8</f>
        <v>Retro</v>
      </c>
      <c r="I8" s="51" t="s">
        <v>6</v>
      </c>
      <c r="J8" s="53" t="s">
        <v>8</v>
      </c>
      <c r="K8" s="51" t="s">
        <v>19</v>
      </c>
      <c r="L8" s="51" t="s">
        <v>20</v>
      </c>
      <c r="M8" s="51" t="str">
        <f>+H8</f>
        <v>Retro</v>
      </c>
      <c r="N8" s="52" t="s">
        <v>6</v>
      </c>
      <c r="O8" s="51" t="s">
        <v>19</v>
      </c>
      <c r="P8" s="51" t="s">
        <v>20</v>
      </c>
      <c r="Q8" s="51" t="str">
        <f>+M8</f>
        <v>Retro</v>
      </c>
      <c r="R8" s="58" t="s">
        <v>6</v>
      </c>
    </row>
    <row r="9" spans="1:18" ht="15.75" customHeight="1" thickTop="1">
      <c r="A9" s="28"/>
      <c r="B9" s="61"/>
      <c r="C9" s="61"/>
      <c r="D9" s="61"/>
      <c r="E9" s="71"/>
      <c r="F9" s="61"/>
      <c r="G9" s="61"/>
      <c r="H9" s="61"/>
      <c r="I9" s="61"/>
      <c r="J9" s="70"/>
      <c r="K9" s="61"/>
      <c r="L9" s="61"/>
      <c r="M9" s="61"/>
      <c r="N9" s="71"/>
      <c r="O9" s="61"/>
      <c r="P9" s="61"/>
      <c r="Q9" s="61"/>
      <c r="R9" s="74"/>
    </row>
    <row r="10" spans="1:27" s="60" customFormat="1" ht="15.75" customHeight="1">
      <c r="A10" s="28" t="s">
        <v>76</v>
      </c>
      <c r="B10" s="29">
        <v>0</v>
      </c>
      <c r="C10" s="29">
        <v>0</v>
      </c>
      <c r="D10" s="29">
        <v>0</v>
      </c>
      <c r="E10" s="30">
        <f aca="true" t="shared" si="0" ref="E10:E17">+C10+B10+D10</f>
        <v>0</v>
      </c>
      <c r="F10" s="29">
        <v>0</v>
      </c>
      <c r="G10" s="29">
        <v>0</v>
      </c>
      <c r="H10" s="29">
        <v>0</v>
      </c>
      <c r="I10" s="29">
        <f aca="true" t="shared" si="1" ref="I10:I17">+G10+F10+H10</f>
        <v>0</v>
      </c>
      <c r="J10" s="32">
        <f aca="true" t="shared" si="2" ref="J10:J17">IF(+E10&gt;0,(+I10-E10)/E10,0)</f>
        <v>0</v>
      </c>
      <c r="K10" s="33">
        <f aca="true" t="shared" si="3" ref="K10:K17">+B10/$B$19</f>
        <v>0</v>
      </c>
      <c r="L10" s="33">
        <f aca="true" t="shared" si="4" ref="L10:L17">IF(C$19&gt;0,C10/$C$19,0)</f>
        <v>0</v>
      </c>
      <c r="M10" s="33">
        <f aca="true" t="shared" si="5" ref="M10:M17">+D10/$D$19</f>
        <v>0</v>
      </c>
      <c r="N10" s="34">
        <f aca="true" t="shared" si="6" ref="N10:N17">+E10/$E$19</f>
        <v>0</v>
      </c>
      <c r="O10" s="33">
        <f aca="true" t="shared" si="7" ref="O10:O17">+F10/$F$19</f>
        <v>0</v>
      </c>
      <c r="P10" s="33">
        <f aca="true" t="shared" si="8" ref="P10:P17">IF(G$19&gt;0,G10/$G$19,0)</f>
        <v>0</v>
      </c>
      <c r="Q10" s="33">
        <f aca="true" t="shared" si="9" ref="Q10:Q17">+H10/$H$19</f>
        <v>0</v>
      </c>
      <c r="R10" s="37">
        <f aca="true" t="shared" si="10" ref="R10:R17">+I10/$I$19</f>
        <v>0</v>
      </c>
      <c r="S10"/>
      <c r="T10"/>
      <c r="U10"/>
      <c r="V10"/>
      <c r="W10"/>
      <c r="X10"/>
      <c r="Y10"/>
      <c r="Z10"/>
      <c r="AA10"/>
    </row>
    <row r="11" spans="1:27" s="60" customFormat="1" ht="15.75" customHeight="1">
      <c r="A11" s="28" t="s">
        <v>11</v>
      </c>
      <c r="B11" s="29">
        <v>0</v>
      </c>
      <c r="C11" s="29">
        <v>0</v>
      </c>
      <c r="D11" s="29">
        <v>0</v>
      </c>
      <c r="E11" s="30">
        <f t="shared" si="0"/>
        <v>0</v>
      </c>
      <c r="F11" s="29">
        <v>0</v>
      </c>
      <c r="G11" s="29">
        <v>0</v>
      </c>
      <c r="H11" s="29">
        <v>0</v>
      </c>
      <c r="I11" s="29">
        <f t="shared" si="1"/>
        <v>0</v>
      </c>
      <c r="J11" s="32">
        <f t="shared" si="2"/>
        <v>0</v>
      </c>
      <c r="K11" s="33">
        <f t="shared" si="3"/>
        <v>0</v>
      </c>
      <c r="L11" s="33">
        <f t="shared" si="4"/>
        <v>0</v>
      </c>
      <c r="M11" s="33">
        <f t="shared" si="5"/>
        <v>0</v>
      </c>
      <c r="N11" s="34">
        <f t="shared" si="6"/>
        <v>0</v>
      </c>
      <c r="O11" s="33">
        <f t="shared" si="7"/>
        <v>0</v>
      </c>
      <c r="P11" s="33">
        <f t="shared" si="8"/>
        <v>0</v>
      </c>
      <c r="Q11" s="33">
        <f t="shared" si="9"/>
        <v>0</v>
      </c>
      <c r="R11" s="37">
        <f t="shared" si="10"/>
        <v>0</v>
      </c>
      <c r="S11"/>
      <c r="T11"/>
      <c r="U11"/>
      <c r="V11"/>
      <c r="W11"/>
      <c r="X11"/>
      <c r="Y11"/>
      <c r="Z11"/>
      <c r="AA11"/>
    </row>
    <row r="12" spans="1:27" s="60" customFormat="1" ht="15.75" customHeight="1">
      <c r="A12" s="28" t="s">
        <v>22</v>
      </c>
      <c r="B12" s="29">
        <v>3981</v>
      </c>
      <c r="C12" s="29">
        <v>0</v>
      </c>
      <c r="D12" s="29">
        <v>0</v>
      </c>
      <c r="E12" s="30">
        <f t="shared" si="0"/>
        <v>3981</v>
      </c>
      <c r="F12" s="29">
        <v>2721</v>
      </c>
      <c r="G12" s="29">
        <v>0</v>
      </c>
      <c r="H12" s="29">
        <v>0</v>
      </c>
      <c r="I12" s="29">
        <f t="shared" si="1"/>
        <v>2721</v>
      </c>
      <c r="J12" s="32">
        <f t="shared" si="2"/>
        <v>-0.3165033911077619</v>
      </c>
      <c r="K12" s="33">
        <f t="shared" si="3"/>
        <v>0.5178199791883454</v>
      </c>
      <c r="L12" s="33">
        <f t="shared" si="4"/>
        <v>0</v>
      </c>
      <c r="M12" s="33">
        <f t="shared" si="5"/>
        <v>0</v>
      </c>
      <c r="N12" s="34">
        <f t="shared" si="6"/>
        <v>0.5137437088656601</v>
      </c>
      <c r="O12" s="33">
        <f t="shared" si="7"/>
        <v>0.44143413367942896</v>
      </c>
      <c r="P12" s="33">
        <f t="shared" si="8"/>
        <v>0</v>
      </c>
      <c r="Q12" s="33">
        <f t="shared" si="9"/>
        <v>0</v>
      </c>
      <c r="R12" s="37">
        <f t="shared" si="10"/>
        <v>0.43880019351717464</v>
      </c>
      <c r="S12"/>
      <c r="T12"/>
      <c r="U12"/>
      <c r="V12"/>
      <c r="W12"/>
      <c r="X12"/>
      <c r="Y12"/>
      <c r="Z12"/>
      <c r="AA12"/>
    </row>
    <row r="13" spans="1:27" s="60" customFormat="1" ht="15.75" customHeight="1">
      <c r="A13" s="28" t="s">
        <v>23</v>
      </c>
      <c r="B13" s="29">
        <v>126</v>
      </c>
      <c r="C13" s="29">
        <v>0</v>
      </c>
      <c r="D13" s="29">
        <v>0</v>
      </c>
      <c r="E13" s="30">
        <f t="shared" si="0"/>
        <v>126</v>
      </c>
      <c r="F13" s="29">
        <v>35</v>
      </c>
      <c r="G13" s="29">
        <v>0</v>
      </c>
      <c r="H13" s="29">
        <v>0</v>
      </c>
      <c r="I13" s="29">
        <f t="shared" si="1"/>
        <v>35</v>
      </c>
      <c r="J13" s="32">
        <f t="shared" si="2"/>
        <v>-0.7222222222222222</v>
      </c>
      <c r="K13" s="33">
        <f t="shared" si="3"/>
        <v>0.016389177939646202</v>
      </c>
      <c r="L13" s="33">
        <f t="shared" si="4"/>
        <v>0</v>
      </c>
      <c r="M13" s="33">
        <f t="shared" si="5"/>
        <v>0</v>
      </c>
      <c r="N13" s="34">
        <f t="shared" si="6"/>
        <v>0.016260162601626018</v>
      </c>
      <c r="O13" s="33">
        <f t="shared" si="7"/>
        <v>0.005678131083711875</v>
      </c>
      <c r="P13" s="33">
        <f t="shared" si="8"/>
        <v>0</v>
      </c>
      <c r="Q13" s="33">
        <f t="shared" si="9"/>
        <v>0</v>
      </c>
      <c r="R13" s="37">
        <f t="shared" si="10"/>
        <v>0.005644250927269795</v>
      </c>
      <c r="S13"/>
      <c r="T13"/>
      <c r="U13"/>
      <c r="V13"/>
      <c r="W13"/>
      <c r="X13"/>
      <c r="Y13"/>
      <c r="Z13"/>
      <c r="AA13"/>
    </row>
    <row r="14" spans="1:27" s="60" customFormat="1" ht="15.75" customHeight="1">
      <c r="A14" s="28" t="s">
        <v>24</v>
      </c>
      <c r="B14" s="29">
        <v>2226</v>
      </c>
      <c r="C14" s="29">
        <v>0</v>
      </c>
      <c r="D14" s="29">
        <v>0</v>
      </c>
      <c r="E14" s="30">
        <f t="shared" si="0"/>
        <v>2226</v>
      </c>
      <c r="F14" s="29">
        <v>2115</v>
      </c>
      <c r="G14" s="29">
        <v>0</v>
      </c>
      <c r="H14" s="29">
        <v>0</v>
      </c>
      <c r="I14" s="29">
        <f t="shared" si="1"/>
        <v>2115</v>
      </c>
      <c r="J14" s="32">
        <f t="shared" si="2"/>
        <v>-0.04986522911051213</v>
      </c>
      <c r="K14" s="33">
        <f t="shared" si="3"/>
        <v>0.28954214360041625</v>
      </c>
      <c r="L14" s="33">
        <f t="shared" si="4"/>
        <v>0</v>
      </c>
      <c r="M14" s="33">
        <f t="shared" si="5"/>
        <v>0</v>
      </c>
      <c r="N14" s="34">
        <f t="shared" si="6"/>
        <v>0.2872628726287263</v>
      </c>
      <c r="O14" s="33">
        <f t="shared" si="7"/>
        <v>0.3431213497728748</v>
      </c>
      <c r="P14" s="33">
        <f t="shared" si="8"/>
        <v>0</v>
      </c>
      <c r="Q14" s="33">
        <f t="shared" si="9"/>
        <v>0</v>
      </c>
      <c r="R14" s="37">
        <f t="shared" si="10"/>
        <v>0.34107402031930334</v>
      </c>
      <c r="S14"/>
      <c r="T14"/>
      <c r="U14"/>
      <c r="V14"/>
      <c r="W14"/>
      <c r="X14"/>
      <c r="Y14"/>
      <c r="Z14"/>
      <c r="AA14"/>
    </row>
    <row r="15" spans="1:27" s="60" customFormat="1" ht="15.75" customHeight="1">
      <c r="A15" s="28" t="s">
        <v>55</v>
      </c>
      <c r="B15" s="104" t="s">
        <v>77</v>
      </c>
      <c r="C15" s="104" t="s">
        <v>77</v>
      </c>
      <c r="D15" s="104" t="s">
        <v>77</v>
      </c>
      <c r="E15" s="105" t="s">
        <v>77</v>
      </c>
      <c r="F15" s="29">
        <v>448</v>
      </c>
      <c r="G15" s="29">
        <v>0</v>
      </c>
      <c r="H15" s="29">
        <v>0</v>
      </c>
      <c r="I15" s="29">
        <f>+G15+F15+H15</f>
        <v>448</v>
      </c>
      <c r="J15" s="106" t="s">
        <v>81</v>
      </c>
      <c r="K15" s="33">
        <v>0</v>
      </c>
      <c r="L15" s="33">
        <f t="shared" si="4"/>
        <v>0</v>
      </c>
      <c r="M15" s="33">
        <v>0</v>
      </c>
      <c r="N15" s="34">
        <v>0</v>
      </c>
      <c r="O15" s="33">
        <f t="shared" si="7"/>
        <v>0.07268007787151201</v>
      </c>
      <c r="P15" s="33">
        <f t="shared" si="8"/>
        <v>0</v>
      </c>
      <c r="Q15" s="33">
        <f t="shared" si="9"/>
        <v>0</v>
      </c>
      <c r="R15" s="37">
        <f t="shared" si="10"/>
        <v>0.07224641186905338</v>
      </c>
      <c r="S15"/>
      <c r="T15"/>
      <c r="U15"/>
      <c r="V15"/>
      <c r="W15"/>
      <c r="X15"/>
      <c r="Y15"/>
      <c r="Z15"/>
      <c r="AA15"/>
    </row>
    <row r="16" spans="1:27" s="60" customFormat="1" ht="15.75" customHeight="1">
      <c r="A16" s="28" t="s">
        <v>46</v>
      </c>
      <c r="B16" s="29">
        <v>0</v>
      </c>
      <c r="C16" s="29">
        <v>0</v>
      </c>
      <c r="D16" s="29">
        <v>61</v>
      </c>
      <c r="E16" s="30">
        <f t="shared" si="0"/>
        <v>61</v>
      </c>
      <c r="F16" s="29">
        <v>0</v>
      </c>
      <c r="G16" s="29">
        <v>0</v>
      </c>
      <c r="H16" s="29">
        <v>37</v>
      </c>
      <c r="I16" s="29">
        <f t="shared" si="1"/>
        <v>37</v>
      </c>
      <c r="J16" s="32">
        <f t="shared" si="2"/>
        <v>-0.39344262295081966</v>
      </c>
      <c r="K16" s="33">
        <f t="shared" si="3"/>
        <v>0</v>
      </c>
      <c r="L16" s="33">
        <f t="shared" si="4"/>
        <v>0</v>
      </c>
      <c r="M16" s="33">
        <f t="shared" si="5"/>
        <v>1</v>
      </c>
      <c r="N16" s="34">
        <f t="shared" si="6"/>
        <v>0.00787198348173958</v>
      </c>
      <c r="O16" s="33">
        <f t="shared" si="7"/>
        <v>0</v>
      </c>
      <c r="P16" s="33">
        <f t="shared" si="8"/>
        <v>0</v>
      </c>
      <c r="Q16" s="33">
        <f t="shared" si="9"/>
        <v>1</v>
      </c>
      <c r="R16" s="37">
        <f t="shared" si="10"/>
        <v>0.0059667795516852125</v>
      </c>
      <c r="S16"/>
      <c r="T16"/>
      <c r="U16"/>
      <c r="V16"/>
      <c r="W16"/>
      <c r="X16"/>
      <c r="Y16"/>
      <c r="Z16"/>
      <c r="AA16"/>
    </row>
    <row r="17" spans="1:27" s="60" customFormat="1" ht="15.75" customHeight="1">
      <c r="A17" s="28" t="s">
        <v>37</v>
      </c>
      <c r="B17" s="29">
        <v>1355</v>
      </c>
      <c r="C17" s="29">
        <v>0</v>
      </c>
      <c r="D17" s="29">
        <v>0</v>
      </c>
      <c r="E17" s="30">
        <f t="shared" si="0"/>
        <v>1355</v>
      </c>
      <c r="F17" s="29">
        <v>845</v>
      </c>
      <c r="G17" s="29">
        <v>0</v>
      </c>
      <c r="H17" s="29">
        <v>0</v>
      </c>
      <c r="I17" s="29">
        <f t="shared" si="1"/>
        <v>845</v>
      </c>
      <c r="J17" s="32">
        <f t="shared" si="2"/>
        <v>-0.3763837638376384</v>
      </c>
      <c r="K17" s="33">
        <f t="shared" si="3"/>
        <v>0.1762486992715921</v>
      </c>
      <c r="L17" s="33">
        <f t="shared" si="4"/>
        <v>0</v>
      </c>
      <c r="M17" s="33">
        <f t="shared" si="5"/>
        <v>0</v>
      </c>
      <c r="N17" s="34">
        <f t="shared" si="6"/>
        <v>0.17486127242224803</v>
      </c>
      <c r="O17" s="33">
        <f t="shared" si="7"/>
        <v>0.13708630759247242</v>
      </c>
      <c r="P17" s="33">
        <f t="shared" si="8"/>
        <v>0</v>
      </c>
      <c r="Q17" s="33">
        <f t="shared" si="9"/>
        <v>0</v>
      </c>
      <c r="R17" s="37">
        <f t="shared" si="10"/>
        <v>0.13626834381551362</v>
      </c>
      <c r="S17"/>
      <c r="T17"/>
      <c r="U17"/>
      <c r="V17"/>
      <c r="W17"/>
      <c r="X17"/>
      <c r="Y17"/>
      <c r="Z17"/>
      <c r="AA17"/>
    </row>
    <row r="18" spans="1:18" ht="15.75" customHeight="1" thickBot="1">
      <c r="A18" s="7"/>
      <c r="B18" s="8"/>
      <c r="C18" s="8"/>
      <c r="D18" s="8"/>
      <c r="E18" s="9"/>
      <c r="F18" s="8"/>
      <c r="G18" s="8"/>
      <c r="H18" s="8"/>
      <c r="I18" s="8"/>
      <c r="J18" s="6"/>
      <c r="K18" s="10" t="s">
        <v>25</v>
      </c>
      <c r="L18" s="10" t="s">
        <v>25</v>
      </c>
      <c r="M18" s="10"/>
      <c r="N18" s="11" t="s">
        <v>25</v>
      </c>
      <c r="O18" s="10" t="s">
        <v>25</v>
      </c>
      <c r="P18" s="10" t="s">
        <v>25</v>
      </c>
      <c r="Q18" s="10"/>
      <c r="R18" s="12" t="s">
        <v>25</v>
      </c>
    </row>
    <row r="19" spans="1:18" ht="15.75" customHeight="1" thickBot="1">
      <c r="A19" s="14" t="s">
        <v>15</v>
      </c>
      <c r="B19" s="15">
        <f aca="true" t="shared" si="11" ref="B19:I19">SUM(B10:B17)</f>
        <v>7688</v>
      </c>
      <c r="C19" s="15">
        <f t="shared" si="11"/>
        <v>0</v>
      </c>
      <c r="D19" s="15">
        <f t="shared" si="11"/>
        <v>61</v>
      </c>
      <c r="E19" s="15">
        <f t="shared" si="11"/>
        <v>7749</v>
      </c>
      <c r="F19" s="22">
        <f t="shared" si="11"/>
        <v>6164</v>
      </c>
      <c r="G19" s="15">
        <f t="shared" si="11"/>
        <v>0</v>
      </c>
      <c r="H19" s="15">
        <f t="shared" si="11"/>
        <v>37</v>
      </c>
      <c r="I19" s="15">
        <f t="shared" si="11"/>
        <v>6201</v>
      </c>
      <c r="J19" s="17">
        <f>IF(+E19&gt;0,(+I19-E19)/E19,0)</f>
        <v>-0.1997677119628339</v>
      </c>
      <c r="K19" s="18">
        <f aca="true" t="shared" si="12" ref="K19:R19">SUM(K10:K17)</f>
        <v>1</v>
      </c>
      <c r="L19" s="18">
        <f t="shared" si="12"/>
        <v>0</v>
      </c>
      <c r="M19" s="18">
        <f t="shared" si="12"/>
        <v>1</v>
      </c>
      <c r="N19" s="19">
        <f t="shared" si="12"/>
        <v>1</v>
      </c>
      <c r="O19" s="18">
        <f t="shared" si="12"/>
        <v>1</v>
      </c>
      <c r="P19" s="18">
        <f t="shared" si="12"/>
        <v>0</v>
      </c>
      <c r="Q19" s="18">
        <f t="shared" si="12"/>
        <v>1</v>
      </c>
      <c r="R19" s="20">
        <f t="shared" si="12"/>
        <v>1</v>
      </c>
    </row>
    <row r="20" spans="1:28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2" t="str">
        <f>+canord!A52</f>
        <v>Canadian Exchange Rate Used: 2007 = 1.01204 and 2008 = 0.818438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2"/>
      <c r="B23" s="2" t="s">
        <v>74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>
      <c r="A25" s="38" t="s">
        <v>25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82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14" ht="15.75" customHeight="1">
      <c r="A26" s="45"/>
      <c r="B26" s="42" t="s">
        <v>61</v>
      </c>
      <c r="C26" s="42"/>
      <c r="D26" s="42"/>
      <c r="E26" s="42"/>
      <c r="F26" s="42"/>
      <c r="G26" s="42"/>
      <c r="H26" s="43"/>
      <c r="I26" s="42"/>
      <c r="J26" s="42" t="s">
        <v>31</v>
      </c>
      <c r="K26" s="42"/>
      <c r="L26" s="42"/>
      <c r="M26" s="42"/>
      <c r="N26" s="57"/>
    </row>
    <row r="27" spans="1:14" ht="15.75" customHeight="1">
      <c r="A27" s="45"/>
      <c r="B27" s="42"/>
      <c r="C27" s="42">
        <f>+C7</f>
        <v>2007</v>
      </c>
      <c r="D27" s="46"/>
      <c r="E27" s="42"/>
      <c r="F27" s="42">
        <f>+G7</f>
        <v>2008</v>
      </c>
      <c r="G27" s="42"/>
      <c r="H27" s="47" t="s">
        <v>7</v>
      </c>
      <c r="I27" s="42"/>
      <c r="J27" s="56">
        <f>+C27</f>
        <v>2007</v>
      </c>
      <c r="K27" s="46"/>
      <c r="L27" s="42"/>
      <c r="M27" s="56">
        <f>+F27</f>
        <v>2008</v>
      </c>
      <c r="N27" s="57"/>
    </row>
    <row r="28" spans="1:14" ht="15.75" customHeight="1" thickBot="1">
      <c r="A28" s="48" t="s">
        <v>2</v>
      </c>
      <c r="B28" s="51" t="s">
        <v>56</v>
      </c>
      <c r="C28" s="51" t="s">
        <v>50</v>
      </c>
      <c r="D28" s="52" t="s">
        <v>6</v>
      </c>
      <c r="E28" s="51" t="s">
        <v>56</v>
      </c>
      <c r="F28" s="51" t="str">
        <f>+C28</f>
        <v>Retro</v>
      </c>
      <c r="G28" s="51" t="s">
        <v>6</v>
      </c>
      <c r="H28" s="53" t="s">
        <v>8</v>
      </c>
      <c r="I28" s="51" t="s">
        <v>56</v>
      </c>
      <c r="J28" s="51" t="str">
        <f>+F28</f>
        <v>Retro</v>
      </c>
      <c r="K28" s="52" t="s">
        <v>6</v>
      </c>
      <c r="L28" s="51" t="s">
        <v>56</v>
      </c>
      <c r="M28" s="51" t="str">
        <f>+J28</f>
        <v>Retro</v>
      </c>
      <c r="N28" s="58" t="s">
        <v>6</v>
      </c>
    </row>
    <row r="29" spans="1:14" ht="15.75" customHeight="1" thickTop="1">
      <c r="A29" s="28"/>
      <c r="B29" s="61"/>
      <c r="C29" s="61"/>
      <c r="D29" s="71"/>
      <c r="E29" s="61"/>
      <c r="F29" s="61"/>
      <c r="G29" s="61"/>
      <c r="H29" s="70"/>
      <c r="I29" s="61"/>
      <c r="J29" s="61"/>
      <c r="K29" s="71"/>
      <c r="L29" s="61"/>
      <c r="M29" s="61"/>
      <c r="N29" s="74"/>
    </row>
    <row r="30" spans="1:14" ht="15.75" customHeight="1">
      <c r="A30" s="28" t="str">
        <f aca="true" t="shared" si="13" ref="A30:A37">+A10</f>
        <v>ING Reinsurance</v>
      </c>
      <c r="B30" s="29">
        <f>905*(1/1.01204)</f>
        <v>894.233429508715</v>
      </c>
      <c r="C30" s="29">
        <v>0</v>
      </c>
      <c r="D30" s="30">
        <f aca="true" t="shared" si="14" ref="D30:D37">+C30+B30</f>
        <v>894.233429508715</v>
      </c>
      <c r="E30" s="29">
        <v>775</v>
      </c>
      <c r="F30" s="29">
        <v>0</v>
      </c>
      <c r="G30" s="29">
        <f aca="true" t="shared" si="15" ref="G30:G37">+F30+E30</f>
        <v>775</v>
      </c>
      <c r="H30" s="32">
        <f aca="true" t="shared" si="16" ref="H30:H37">IF(+D30&gt;0,(+G30-D30)/D30,0)</f>
        <v>-0.13333591160220984</v>
      </c>
      <c r="I30" s="33">
        <f aca="true" t="shared" si="17" ref="I30:I37">+B30/B$39</f>
        <v>0.02479763847392331</v>
      </c>
      <c r="J30" s="33">
        <f aca="true" t="shared" si="18" ref="J30:J37">+C30/C$39</f>
        <v>0</v>
      </c>
      <c r="K30" s="34">
        <f aca="true" t="shared" si="19" ref="K30:K37">+D30/D$39</f>
        <v>0.024696419657054148</v>
      </c>
      <c r="L30" s="33">
        <f aca="true" t="shared" si="20" ref="L30:L37">+E30/E$39</f>
        <v>0.021147706497121183</v>
      </c>
      <c r="M30" s="33">
        <f aca="true" t="shared" si="21" ref="M30:N34">+F30/F$39</f>
        <v>0</v>
      </c>
      <c r="N30" s="37">
        <f t="shared" si="21"/>
        <v>0.02106881595534006</v>
      </c>
    </row>
    <row r="31" spans="1:14" ht="15.75" customHeight="1">
      <c r="A31" s="28" t="str">
        <f t="shared" si="13"/>
        <v>Manufacturers Life</v>
      </c>
      <c r="B31" s="29">
        <v>0</v>
      </c>
      <c r="C31" s="29">
        <f>17/1.01204</f>
        <v>16.797755029445476</v>
      </c>
      <c r="D31" s="30">
        <f>+C31+B31</f>
        <v>16.797755029445476</v>
      </c>
      <c r="E31" s="29">
        <v>0</v>
      </c>
      <c r="F31" s="29">
        <f>1/0.818438</f>
        <v>1.2218396506516072</v>
      </c>
      <c r="G31" s="29">
        <f t="shared" si="15"/>
        <v>1.2218396506516072</v>
      </c>
      <c r="H31" s="32">
        <f t="shared" si="16"/>
        <v>-0.927261729409091</v>
      </c>
      <c r="I31" s="33">
        <f>+B31/B$39</f>
        <v>0</v>
      </c>
      <c r="J31" s="33">
        <f>+C31/C$39</f>
        <v>0.11365365479400474</v>
      </c>
      <c r="K31" s="34">
        <f t="shared" si="19"/>
        <v>0.0004639106454916249</v>
      </c>
      <c r="L31" s="33">
        <f t="shared" si="20"/>
        <v>0</v>
      </c>
      <c r="M31" s="33">
        <f t="shared" si="21"/>
        <v>0.008904119444559605</v>
      </c>
      <c r="N31" s="37">
        <f t="shared" si="21"/>
        <v>3.321640609872995E-05</v>
      </c>
    </row>
    <row r="32" spans="1:14" ht="15.75" customHeight="1">
      <c r="A32" s="28" t="str">
        <f t="shared" si="13"/>
        <v>Munich  Re (Canada)</v>
      </c>
      <c r="B32" s="29">
        <v>18199</v>
      </c>
      <c r="C32" s="29">
        <v>0</v>
      </c>
      <c r="D32" s="30">
        <f t="shared" si="14"/>
        <v>18199</v>
      </c>
      <c r="E32" s="29">
        <v>18373</v>
      </c>
      <c r="F32" s="29">
        <v>0</v>
      </c>
      <c r="G32" s="29">
        <f t="shared" si="15"/>
        <v>18373</v>
      </c>
      <c r="H32" s="32">
        <f t="shared" si="16"/>
        <v>0.00956096488818067</v>
      </c>
      <c r="I32" s="33">
        <f t="shared" si="17"/>
        <v>0.5046693712120188</v>
      </c>
      <c r="J32" s="33">
        <f t="shared" si="18"/>
        <v>0</v>
      </c>
      <c r="K32" s="34">
        <f t="shared" si="19"/>
        <v>0.5026094155143058</v>
      </c>
      <c r="L32" s="33">
        <f t="shared" si="20"/>
        <v>0.5013507244794936</v>
      </c>
      <c r="M32" s="33">
        <f t="shared" si="21"/>
        <v>0</v>
      </c>
      <c r="N32" s="37">
        <f t="shared" si="21"/>
        <v>0.49948045877091996</v>
      </c>
    </row>
    <row r="33" spans="1:14" ht="15.75" customHeight="1">
      <c r="A33" s="28" t="str">
        <f t="shared" si="13"/>
        <v>Optimum Re (Canada)</v>
      </c>
      <c r="B33" s="29">
        <v>3676</v>
      </c>
      <c r="C33" s="29">
        <v>0</v>
      </c>
      <c r="D33" s="30">
        <f t="shared" si="14"/>
        <v>3676</v>
      </c>
      <c r="E33" s="29">
        <v>3711</v>
      </c>
      <c r="F33" s="29">
        <v>0</v>
      </c>
      <c r="G33" s="29">
        <f t="shared" si="15"/>
        <v>3711</v>
      </c>
      <c r="H33" s="32">
        <f t="shared" si="16"/>
        <v>0.009521218715995648</v>
      </c>
      <c r="I33" s="33">
        <f t="shared" si="17"/>
        <v>0.10193772232404974</v>
      </c>
      <c r="J33" s="33">
        <f t="shared" si="18"/>
        <v>0</v>
      </c>
      <c r="K33" s="34">
        <f t="shared" si="19"/>
        <v>0.10152163368485016</v>
      </c>
      <c r="L33" s="33">
        <f t="shared" si="20"/>
        <v>0.10126340491718286</v>
      </c>
      <c r="M33" s="33">
        <f t="shared" si="21"/>
        <v>0</v>
      </c>
      <c r="N33" s="37">
        <f t="shared" si="21"/>
        <v>0.1008856464648606</v>
      </c>
    </row>
    <row r="34" spans="1:14" ht="15.75" customHeight="1">
      <c r="A34" s="28" t="str">
        <f t="shared" si="13"/>
        <v>RGA Re (Canada)</v>
      </c>
      <c r="B34" s="29">
        <v>3104</v>
      </c>
      <c r="C34" s="29">
        <v>0</v>
      </c>
      <c r="D34" s="30">
        <f t="shared" si="14"/>
        <v>3104</v>
      </c>
      <c r="E34" s="29">
        <v>3633</v>
      </c>
      <c r="F34" s="29">
        <v>0</v>
      </c>
      <c r="G34" s="29">
        <f t="shared" si="15"/>
        <v>3633</v>
      </c>
      <c r="H34" s="32">
        <f t="shared" si="16"/>
        <v>0.17042525773195877</v>
      </c>
      <c r="I34" s="33">
        <f t="shared" si="17"/>
        <v>0.08607581340964375</v>
      </c>
      <c r="J34" s="33">
        <f t="shared" si="18"/>
        <v>0</v>
      </c>
      <c r="K34" s="34">
        <f t="shared" si="19"/>
        <v>0.08572446979264824</v>
      </c>
      <c r="L34" s="33">
        <f t="shared" si="20"/>
        <v>0.09913499058585969</v>
      </c>
      <c r="M34" s="33">
        <f t="shared" si="21"/>
        <v>0</v>
      </c>
      <c r="N34" s="37">
        <f t="shared" si="21"/>
        <v>0.09876517208483929</v>
      </c>
    </row>
    <row r="35" spans="1:14" ht="15.75" customHeight="1">
      <c r="A35" s="28" t="str">
        <f t="shared" si="13"/>
        <v>SCOR Global Life</v>
      </c>
      <c r="B35" s="29">
        <v>1648</v>
      </c>
      <c r="C35" s="29">
        <v>0</v>
      </c>
      <c r="D35" s="30">
        <f>+C35+B35</f>
        <v>1648</v>
      </c>
      <c r="E35" s="29">
        <v>2014</v>
      </c>
      <c r="F35" s="29">
        <v>0</v>
      </c>
      <c r="G35" s="29">
        <f>+F35+E35</f>
        <v>2014</v>
      </c>
      <c r="H35" s="32">
        <f>IF(+D35&gt;0,(+G35-D35)/D35,0)</f>
        <v>0.2220873786407767</v>
      </c>
      <c r="I35" s="33">
        <f aca="true" t="shared" si="22" ref="I35:N35">+B35/B$39</f>
        <v>0.04570004526388302</v>
      </c>
      <c r="J35" s="33">
        <f t="shared" si="22"/>
        <v>0</v>
      </c>
      <c r="K35" s="34">
        <f t="shared" si="22"/>
        <v>0.04551350715795242</v>
      </c>
      <c r="L35" s="33">
        <f t="shared" si="22"/>
        <v>0.054956749529292984</v>
      </c>
      <c r="M35" s="33">
        <f t="shared" si="22"/>
        <v>0</v>
      </c>
      <c r="N35" s="37">
        <f t="shared" si="22"/>
        <v>0.054751735914909526</v>
      </c>
    </row>
    <row r="36" spans="1:14" ht="15.75" customHeight="1">
      <c r="A36" s="28" t="str">
        <f t="shared" si="13"/>
        <v>Sun Life </v>
      </c>
      <c r="B36" s="29">
        <v>0</v>
      </c>
      <c r="C36" s="29">
        <v>131</v>
      </c>
      <c r="D36" s="30">
        <f t="shared" si="14"/>
        <v>131</v>
      </c>
      <c r="E36" s="29">
        <v>0</v>
      </c>
      <c r="F36" s="29">
        <v>136</v>
      </c>
      <c r="G36" s="29">
        <f t="shared" si="15"/>
        <v>136</v>
      </c>
      <c r="H36" s="32">
        <f t="shared" si="16"/>
        <v>0.03816793893129771</v>
      </c>
      <c r="I36" s="33">
        <f t="shared" si="17"/>
        <v>0</v>
      </c>
      <c r="J36" s="33">
        <f t="shared" si="18"/>
        <v>0.8863463452059952</v>
      </c>
      <c r="K36" s="34">
        <f t="shared" si="19"/>
        <v>0.0036178819403469456</v>
      </c>
      <c r="L36" s="33">
        <f t="shared" si="20"/>
        <v>0</v>
      </c>
      <c r="M36" s="33">
        <f>+F36/F$39</f>
        <v>0.9910958805554403</v>
      </c>
      <c r="N36" s="37">
        <f>+G36/G$39</f>
        <v>0.003697237380549998</v>
      </c>
    </row>
    <row r="37" spans="1:14" ht="15.75" customHeight="1">
      <c r="A37" s="28" t="str">
        <f t="shared" si="13"/>
        <v>Swiss Re </v>
      </c>
      <c r="B37" s="29">
        <v>8540</v>
      </c>
      <c r="C37" s="29">
        <v>0</v>
      </c>
      <c r="D37" s="30">
        <f t="shared" si="14"/>
        <v>8540</v>
      </c>
      <c r="E37" s="29">
        <v>8141</v>
      </c>
      <c r="F37" s="29">
        <v>0</v>
      </c>
      <c r="G37" s="29">
        <f t="shared" si="15"/>
        <v>8141</v>
      </c>
      <c r="H37" s="32">
        <f t="shared" si="16"/>
        <v>-0.04672131147540984</v>
      </c>
      <c r="I37" s="33">
        <f t="shared" si="17"/>
        <v>0.23681940931648118</v>
      </c>
      <c r="J37" s="33">
        <f t="shared" si="18"/>
        <v>0</v>
      </c>
      <c r="K37" s="34">
        <f t="shared" si="19"/>
        <v>0.2358527616073505</v>
      </c>
      <c r="L37" s="33">
        <f t="shared" si="20"/>
        <v>0.22214642399104975</v>
      </c>
      <c r="M37" s="33">
        <f>+F37/F$39</f>
        <v>0</v>
      </c>
      <c r="N37" s="37">
        <f>+G37/G$39</f>
        <v>0.22131771702248187</v>
      </c>
    </row>
    <row r="38" spans="1:14" ht="15.75" customHeight="1" thickBot="1">
      <c r="A38" s="7"/>
      <c r="B38" s="8"/>
      <c r="C38" s="8"/>
      <c r="D38" s="9"/>
      <c r="E38" s="8"/>
      <c r="F38" s="8"/>
      <c r="G38" s="8"/>
      <c r="H38" s="6"/>
      <c r="I38" s="10" t="s">
        <v>25</v>
      </c>
      <c r="J38" s="10"/>
      <c r="K38" s="11" t="s">
        <v>25</v>
      </c>
      <c r="L38" s="10" t="s">
        <v>25</v>
      </c>
      <c r="M38" s="10"/>
      <c r="N38" s="83" t="s">
        <v>25</v>
      </c>
    </row>
    <row r="39" spans="1:14" ht="15.75" customHeight="1" thickBot="1">
      <c r="A39" s="14" t="s">
        <v>15</v>
      </c>
      <c r="B39" s="15">
        <f aca="true" t="shared" si="23" ref="B39:G39">SUM(B30:B37)</f>
        <v>36061.23342950872</v>
      </c>
      <c r="C39" s="15">
        <f t="shared" si="23"/>
        <v>147.79775502944548</v>
      </c>
      <c r="D39" s="15">
        <f t="shared" si="23"/>
        <v>36209.031184538166</v>
      </c>
      <c r="E39" s="22">
        <f t="shared" si="23"/>
        <v>36647</v>
      </c>
      <c r="F39" s="15">
        <f t="shared" si="23"/>
        <v>137.22183965065162</v>
      </c>
      <c r="G39" s="15">
        <f t="shared" si="23"/>
        <v>36784.22183965065</v>
      </c>
      <c r="H39" s="17">
        <f>IF(+D39&gt;0,(+G39-D39)/D39,0)</f>
        <v>0.01588528155257853</v>
      </c>
      <c r="I39" s="18">
        <f aca="true" t="shared" si="24" ref="I39:N39">SUM(I30:I37)</f>
        <v>0.9999999999999999</v>
      </c>
      <c r="J39" s="18">
        <f t="shared" si="24"/>
        <v>1</v>
      </c>
      <c r="K39" s="19">
        <f t="shared" si="24"/>
        <v>0.9999999999999998</v>
      </c>
      <c r="L39" s="18">
        <f t="shared" si="24"/>
        <v>1</v>
      </c>
      <c r="M39" s="18">
        <f t="shared" si="24"/>
        <v>0.9999999999999999</v>
      </c>
      <c r="N39" s="20">
        <f t="shared" si="24"/>
        <v>1</v>
      </c>
    </row>
    <row r="41" ht="15.75" customHeight="1">
      <c r="A41" t="str">
        <f>+A21</f>
        <v>Canadian Exchange Rate Used: 2007 = 1.01204 and 2008 = 0.818438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MARC-Life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bruggeman</dc:creator>
  <cp:keywords/>
  <dc:description/>
  <cp:lastModifiedBy>Bruggeman David</cp:lastModifiedBy>
  <cp:lastPrinted>2009-03-26T13:55:27Z</cp:lastPrinted>
  <dcterms:created xsi:type="dcterms:W3CDTF">1998-03-27T18:48:13Z</dcterms:created>
  <dcterms:modified xsi:type="dcterms:W3CDTF">2009-05-08T14:14:21Z</dcterms:modified>
  <cp:category/>
  <cp:version/>
  <cp:contentType/>
  <cp:contentStatus/>
</cp:coreProperties>
</file>