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1340" windowHeight="6555" activeTab="0"/>
  </bookViews>
  <sheets>
    <sheet name="Sheet1" sheetId="1" r:id="rId1"/>
    <sheet name="usord " sheetId="2" r:id="rId2"/>
    <sheet name="canord" sheetId="3" r:id="rId3"/>
    <sheet name="group" sheetId="4" r:id="rId4"/>
  </sheets>
  <definedNames>
    <definedName name="_xlnm.Print_Area" localSheetId="2">'canord'!$A$2:$R$86</definedName>
  </definedNames>
  <calcPr fullCalcOnLoad="1"/>
</workbook>
</file>

<file path=xl/sharedStrings.xml><?xml version="1.0" encoding="utf-8"?>
<sst xmlns="http://schemas.openxmlformats.org/spreadsheetml/2006/main" count="363" uniqueCount="98">
  <si>
    <t>FileName</t>
  </si>
  <si>
    <t>Date</t>
  </si>
  <si>
    <t>Company</t>
  </si>
  <si>
    <t>Recur.</t>
  </si>
  <si>
    <t>Port.</t>
  </si>
  <si>
    <t>Retro.</t>
  </si>
  <si>
    <t>Total</t>
  </si>
  <si>
    <t>Percentage</t>
  </si>
  <si>
    <t>Increase</t>
  </si>
  <si>
    <t xml:space="preserve">        Market Share Percentages</t>
  </si>
  <si>
    <t>Allianz</t>
  </si>
  <si>
    <t>AUL</t>
  </si>
  <si>
    <t>BMA</t>
  </si>
  <si>
    <t>Equitable</t>
  </si>
  <si>
    <t>Gerling Global</t>
  </si>
  <si>
    <t>Guardian</t>
  </si>
  <si>
    <t>Manufacturers Life</t>
  </si>
  <si>
    <t>Munich American Re</t>
  </si>
  <si>
    <t>Optimum Re (CAN)</t>
  </si>
  <si>
    <t>Optimum Re (US)</t>
  </si>
  <si>
    <t>RGA</t>
  </si>
  <si>
    <t>Transamerica Re</t>
  </si>
  <si>
    <t>TOTALS</t>
  </si>
  <si>
    <t>U.S. ORDINARY REINSURANCE</t>
  </si>
  <si>
    <t>CANADIAN ORDINARY REINSURANCE</t>
  </si>
  <si>
    <t>Date:</t>
  </si>
  <si>
    <t>New</t>
  </si>
  <si>
    <t>Incr.</t>
  </si>
  <si>
    <t>Amount</t>
  </si>
  <si>
    <t>Pct.</t>
  </si>
  <si>
    <t>Market Share</t>
  </si>
  <si>
    <t>Employers/ERC</t>
  </si>
  <si>
    <t>Group In Force</t>
  </si>
  <si>
    <t>Lincoln Re</t>
  </si>
  <si>
    <t>Munich Re (Canada)</t>
  </si>
  <si>
    <t>Munich  Re (Canada)</t>
  </si>
  <si>
    <t>Optimum Re (Canada)</t>
  </si>
  <si>
    <t>RGA Re (Canada)</t>
  </si>
  <si>
    <t xml:space="preserve"> </t>
  </si>
  <si>
    <t>FileName:</t>
  </si>
  <si>
    <t xml:space="preserve">         Ordinary Reinsurance In Force</t>
  </si>
  <si>
    <t xml:space="preserve">        Ordinary Reinsurance Assumed</t>
  </si>
  <si>
    <t xml:space="preserve">          Ordinary Reinsurance In Force</t>
  </si>
  <si>
    <t xml:space="preserve">          Market Share Percentages</t>
  </si>
  <si>
    <t xml:space="preserve">         Ordinary Reinsurance Assumed</t>
  </si>
  <si>
    <t xml:space="preserve">            Market Share Percentages</t>
  </si>
  <si>
    <t xml:space="preserve">      Ordinary Reinsurance Assumed</t>
  </si>
  <si>
    <t xml:space="preserve">       Ordinary Reinsurance In Force</t>
  </si>
  <si>
    <t xml:space="preserve">        Ordinary Reinsurance In Force</t>
  </si>
  <si>
    <t xml:space="preserve">           Ordinary Reinsurance In Force</t>
  </si>
  <si>
    <t xml:space="preserve">         Group Reinsurance Assumed</t>
  </si>
  <si>
    <t xml:space="preserve">  Market Share</t>
  </si>
  <si>
    <t xml:space="preserve">           Market Share Percentages</t>
  </si>
  <si>
    <t xml:space="preserve">          Group Reinsurance Assumed</t>
  </si>
  <si>
    <t>Annuity and Life Re</t>
  </si>
  <si>
    <t>ERC-Canada</t>
  </si>
  <si>
    <t>Clarica LIC (Mutual Group)</t>
  </si>
  <si>
    <t xml:space="preserve">Swiss Re </t>
  </si>
  <si>
    <t>ING Re</t>
  </si>
  <si>
    <t>SCOR Life Re</t>
  </si>
  <si>
    <t>Scottish Re (US)</t>
  </si>
  <si>
    <t xml:space="preserve">Clarica LIC </t>
  </si>
  <si>
    <t>General &amp; Cologne</t>
  </si>
  <si>
    <t>Clarica</t>
  </si>
  <si>
    <t xml:space="preserve">General &amp; Cologne </t>
  </si>
  <si>
    <t>DNR: Did Not Report</t>
  </si>
  <si>
    <t xml:space="preserve">Canada Life </t>
  </si>
  <si>
    <t>Swiss Re*</t>
  </si>
  <si>
    <t>resurvey 2001</t>
  </si>
  <si>
    <t>Canadian Exchange Rate Used: 2000 = .6631 and 2001 = .6221</t>
  </si>
  <si>
    <t>Hannover Life Re</t>
  </si>
  <si>
    <t>Acquired by Swiss Re</t>
  </si>
  <si>
    <t>Swiss Re *</t>
  </si>
  <si>
    <t>* 2001 Group Increase Amount includes $19,807 of inforce assumed from Lincoln Re.</t>
  </si>
  <si>
    <t>* 2001 Ordinary Portfolio Amount includes $470,093 of inforce assumed from Lincoln Re.</t>
  </si>
  <si>
    <t>* 2001 Ordinary Portfolio Amount includes $20,916 of inforce assumed from Lincoln Re.</t>
  </si>
  <si>
    <t>DNR</t>
  </si>
  <si>
    <t>U.S. ORDINARY REINSURANCE ASSUMED MARKET SHARE PERCENTAGES FOR 2000 AND 2001 ( AMOUNTS IN $U.S. MILLIONS)</t>
  </si>
  <si>
    <t>U.S. ORDINARY REINSURANCE IN FORCE MARKET SHARE PERCENTAGES FOR 2000 AND 2001 ( AMOUNTS IN $U.S. MILLIONS)</t>
  </si>
  <si>
    <t>CANADIAN ORDINARY REINSURANCE ASSUMED MARKET SHARE PERCENTAGES FOR 2000 AND 2001 ( AMOUNTS IN $U.S. MILLIONS)</t>
  </si>
  <si>
    <t>CANADIAN ORDINARY REINSURANCE IN FORCE MARKET SHARE PERCENTAGES FOR 2000 AND 2001 ( AMOUNTS IN $U.S. MILLIONS)</t>
  </si>
  <si>
    <t>U.S. GROUP REINSURANCE ASSUMED AND IN FORCE MARKET SHARE PERCENTAGES FOR 2000 AND 2001 (AMOUNTS IN $U.S. MILLIONS)</t>
  </si>
  <si>
    <t>CANADIAN GROUP REINSURANCE ASSUMED AND IN FORCE MARKET SHARE PERCENTAGES FOR 2000 AND 2001 (AMOUNTS IN $U.S. MILLIONS)</t>
  </si>
  <si>
    <t>Canada Life</t>
  </si>
  <si>
    <t xml:space="preserve">Questions about downloading and viewing the file should be sent by e-mail to our </t>
  </si>
  <si>
    <t xml:space="preserve">This survey data was prepared by Munich American at the request of the Society </t>
  </si>
  <si>
    <t xml:space="preserve">of Actuaries Reinsurance Section as a service to Section members. The numbers </t>
  </si>
  <si>
    <t xml:space="preserve">are provided by the contributing companies in response to the survey. These </t>
  </si>
  <si>
    <t xml:space="preserve">numbers are not audited, and Munich American, the Society of Actuaries, and the </t>
  </si>
  <si>
    <t>Reinsurance Section take no responsibility for the accuracy of the figures.</t>
  </si>
  <si>
    <t xml:space="preserve">            </t>
  </si>
  <si>
    <t xml:space="preserve">Should you have questions relating to the Life Reinsurance Survey results, </t>
  </si>
  <si>
    <t xml:space="preserve">please contact David Bruggeman at (770) 350-3294 or send him an e-mail &lt;dbruggeman@marclife.com&gt;. </t>
  </si>
  <si>
    <t>Webmaster &lt;webmaster@marclife.com&gt;.</t>
  </si>
  <si>
    <t xml:space="preserve">We would like to extend our heartfelt thanks to all of those who participated in </t>
  </si>
  <si>
    <t>the survey.</t>
  </si>
  <si>
    <t>MUNICH AMERICAN REASSURANCE COMPANY, ATLANTA, GA</t>
  </si>
  <si>
    <t xml:space="preserve">Updated: April 29, 2002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</si>
</sst>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</numFmts>
  <fonts count="3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57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0" fontId="1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0" fontId="1" fillId="0" borderId="14" xfId="0" applyNumberFormat="1" applyFont="1" applyBorder="1" applyAlignment="1">
      <alignment/>
    </xf>
    <xf numFmtId="10" fontId="1" fillId="0" borderId="15" xfId="0" applyNumberFormat="1" applyFont="1" applyBorder="1" applyAlignment="1">
      <alignment/>
    </xf>
    <xf numFmtId="10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0" fontId="1" fillId="0" borderId="13" xfId="0" applyNumberFormat="1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10" fontId="1" fillId="0" borderId="16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 horizontal="centerContinuous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Continuous"/>
    </xf>
    <xf numFmtId="0" fontId="2" fillId="33" borderId="35" xfId="0" applyFont="1" applyFill="1" applyBorder="1" applyAlignment="1">
      <alignment horizontal="center"/>
    </xf>
    <xf numFmtId="1" fontId="2" fillId="33" borderId="31" xfId="0" applyNumberFormat="1" applyFont="1" applyFill="1" applyBorder="1" applyAlignment="1">
      <alignment/>
    </xf>
    <xf numFmtId="1" fontId="2" fillId="33" borderId="34" xfId="0" applyNumberFormat="1" applyFont="1" applyFill="1" applyBorder="1" applyAlignment="1">
      <alignment/>
    </xf>
    <xf numFmtId="15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10" fontId="2" fillId="0" borderId="21" xfId="0" applyNumberFormat="1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10" fontId="1" fillId="34" borderId="11" xfId="0" applyNumberFormat="1" applyFont="1" applyFill="1" applyBorder="1" applyAlignment="1">
      <alignment/>
    </xf>
    <xf numFmtId="10" fontId="1" fillId="34" borderId="0" xfId="0" applyNumberFormat="1" applyFont="1" applyFill="1" applyBorder="1" applyAlignment="1">
      <alignment/>
    </xf>
    <xf numFmtId="10" fontId="1" fillId="34" borderId="13" xfId="0" applyNumberFormat="1" applyFont="1" applyFill="1" applyBorder="1" applyAlignment="1">
      <alignment/>
    </xf>
    <xf numFmtId="10" fontId="1" fillId="34" borderId="10" xfId="0" applyNumberFormat="1" applyFont="1" applyFill="1" applyBorder="1" applyAlignment="1">
      <alignment/>
    </xf>
    <xf numFmtId="3" fontId="1" fillId="34" borderId="25" xfId="0" applyNumberFormat="1" applyFont="1" applyFill="1" applyBorder="1" applyAlignment="1">
      <alignment horizontal="center"/>
    </xf>
    <xf numFmtId="3" fontId="1" fillId="34" borderId="0" xfId="0" applyNumberFormat="1" applyFont="1" applyFill="1" applyBorder="1" applyAlignment="1">
      <alignment horizontal="center"/>
    </xf>
    <xf numFmtId="3" fontId="1" fillId="34" borderId="13" xfId="0" applyNumberFormat="1" applyFont="1" applyFill="1" applyBorder="1" applyAlignment="1">
      <alignment horizontal="center"/>
    </xf>
    <xf numFmtId="10" fontId="1" fillId="34" borderId="11" xfId="0" applyNumberFormat="1" applyFont="1" applyFill="1" applyBorder="1" applyAlignment="1">
      <alignment horizontal="center"/>
    </xf>
    <xf numFmtId="10" fontId="1" fillId="34" borderId="0" xfId="0" applyNumberFormat="1" applyFont="1" applyFill="1" applyBorder="1" applyAlignment="1">
      <alignment horizontal="center"/>
    </xf>
    <xf numFmtId="10" fontId="1" fillId="34" borderId="10" xfId="0" applyNumberFormat="1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center"/>
    </xf>
    <xf numFmtId="3" fontId="1" fillId="34" borderId="25" xfId="0" applyNumberFormat="1" applyFont="1" applyFill="1" applyBorder="1" applyAlignment="1">
      <alignment/>
    </xf>
    <xf numFmtId="10" fontId="1" fillId="34" borderId="16" xfId="0" applyNumberFormat="1" applyFont="1" applyFill="1" applyBorder="1" applyAlignment="1">
      <alignment/>
    </xf>
    <xf numFmtId="3" fontId="1" fillId="34" borderId="25" xfId="0" applyNumberFormat="1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 horizontal="center"/>
    </xf>
    <xf numFmtId="3" fontId="1" fillId="34" borderId="16" xfId="0" applyNumberFormat="1" applyFont="1" applyFill="1" applyBorder="1" applyAlignment="1">
      <alignment horizontal="center"/>
    </xf>
    <xf numFmtId="3" fontId="1" fillId="34" borderId="39" xfId="0" applyNumberFormat="1" applyFont="1" applyFill="1" applyBorder="1" applyAlignment="1">
      <alignment horizontal="center"/>
    </xf>
    <xf numFmtId="3" fontId="1" fillId="34" borderId="25" xfId="0" applyNumberFormat="1" applyFont="1" applyFill="1" applyBorder="1" applyAlignment="1">
      <alignment horizontal="center"/>
    </xf>
    <xf numFmtId="3" fontId="1" fillId="34" borderId="0" xfId="0" applyNumberFormat="1" applyFont="1" applyFill="1" applyBorder="1" applyAlignment="1">
      <alignment horizontal="center"/>
    </xf>
    <xf numFmtId="3" fontId="1" fillId="34" borderId="13" xfId="0" applyNumberFormat="1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85</v>
      </c>
    </row>
    <row r="2" ht="12.75">
      <c r="A2" t="s">
        <v>86</v>
      </c>
    </row>
    <row r="3" ht="12.75">
      <c r="A3" t="s">
        <v>87</v>
      </c>
    </row>
    <row r="4" ht="12.75">
      <c r="A4" t="s">
        <v>88</v>
      </c>
    </row>
    <row r="5" ht="12.75">
      <c r="A5" t="s">
        <v>89</v>
      </c>
    </row>
    <row r="6" ht="12.75">
      <c r="A6" t="s">
        <v>90</v>
      </c>
    </row>
    <row r="7" ht="12.75">
      <c r="A7" t="s">
        <v>91</v>
      </c>
    </row>
    <row r="8" ht="12.75">
      <c r="A8" t="s">
        <v>92</v>
      </c>
    </row>
    <row r="9" ht="12.75">
      <c r="A9" t="s">
        <v>84</v>
      </c>
    </row>
    <row r="10" ht="12.75">
      <c r="A10" t="s">
        <v>93</v>
      </c>
    </row>
    <row r="12" ht="12.75">
      <c r="A12" t="s">
        <v>94</v>
      </c>
    </row>
    <row r="13" ht="12.75">
      <c r="A13" t="s">
        <v>95</v>
      </c>
    </row>
    <row r="15" ht="12.75">
      <c r="A15" t="s">
        <v>96</v>
      </c>
    </row>
    <row r="17" ht="12.75">
      <c r="A17" t="s">
        <v>97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2"/>
  <sheetViews>
    <sheetView view="pageBreakPreview" zoomScale="60" zoomScalePageLayoutView="0" workbookViewId="0" topLeftCell="A17">
      <selection activeCell="A33" sqref="A33"/>
    </sheetView>
  </sheetViews>
  <sheetFormatPr defaultColWidth="9.140625" defaultRowHeight="15.75" customHeight="1"/>
  <cols>
    <col min="1" max="1" width="29.140625" style="0" bestFit="1" customWidth="1"/>
    <col min="2" max="2" width="12.28125" style="0" customWidth="1"/>
    <col min="3" max="3" width="10.8515625" style="0" bestFit="1" customWidth="1"/>
    <col min="4" max="4" width="9.421875" style="0" bestFit="1" customWidth="1"/>
    <col min="5" max="5" width="12.57421875" style="0" bestFit="1" customWidth="1"/>
    <col min="6" max="6" width="10.421875" style="0" bestFit="1" customWidth="1"/>
    <col min="7" max="7" width="11.28125" style="0" bestFit="1" customWidth="1"/>
    <col min="8" max="8" width="9.421875" style="0" bestFit="1" customWidth="1"/>
    <col min="9" max="9" width="13.00390625" style="0" bestFit="1" customWidth="1"/>
    <col min="10" max="10" width="12.140625" style="0" customWidth="1"/>
    <col min="11" max="11" width="10.421875" style="0" customWidth="1"/>
    <col min="12" max="12" width="9.8515625" style="0" bestFit="1" customWidth="1"/>
    <col min="13" max="13" width="10.28125" style="0" bestFit="1" customWidth="1"/>
    <col min="14" max="17" width="9.8515625" style="0" bestFit="1" customWidth="1"/>
  </cols>
  <sheetData>
    <row r="1" spans="1:18" ht="15.75" customHeight="1">
      <c r="A1" s="1" t="s">
        <v>39</v>
      </c>
      <c r="B1" s="1" t="s">
        <v>68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>
      <c r="A2" s="1" t="s">
        <v>25</v>
      </c>
      <c r="B2" s="70">
        <v>37375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customHeight="1">
      <c r="A4" s="1"/>
      <c r="B4" s="1"/>
      <c r="C4" s="4" t="s">
        <v>77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</row>
    <row r="7" spans="1:18" ht="15.75" customHeight="1">
      <c r="A7" s="47"/>
      <c r="B7" s="48"/>
      <c r="C7" s="48"/>
      <c r="D7" s="48" t="s">
        <v>44</v>
      </c>
      <c r="E7" s="48"/>
      <c r="F7" s="48"/>
      <c r="G7" s="48"/>
      <c r="H7" s="48"/>
      <c r="I7" s="48"/>
      <c r="J7" s="49"/>
      <c r="K7" s="48"/>
      <c r="L7" s="48"/>
      <c r="M7" s="48" t="s">
        <v>43</v>
      </c>
      <c r="N7" s="48"/>
      <c r="O7" s="48"/>
      <c r="P7" s="48"/>
      <c r="Q7" s="48"/>
      <c r="R7" s="50"/>
    </row>
    <row r="8" spans="1:18" ht="15.75" customHeight="1">
      <c r="A8" s="51"/>
      <c r="B8" s="48"/>
      <c r="C8" s="48">
        <v>2000</v>
      </c>
      <c r="D8" s="48"/>
      <c r="E8" s="52"/>
      <c r="F8" s="48"/>
      <c r="G8" s="48">
        <v>2001</v>
      </c>
      <c r="H8" s="48"/>
      <c r="I8" s="52"/>
      <c r="J8" s="53" t="s">
        <v>7</v>
      </c>
      <c r="K8" s="48"/>
      <c r="L8" s="48">
        <f>+C8</f>
        <v>2000</v>
      </c>
      <c r="M8" s="48"/>
      <c r="N8" s="52"/>
      <c r="O8" s="48"/>
      <c r="P8" s="48">
        <f>+G8</f>
        <v>2001</v>
      </c>
      <c r="Q8" s="48"/>
      <c r="R8" s="50"/>
    </row>
    <row r="9" spans="1:18" ht="15.75" customHeight="1" thickBot="1">
      <c r="A9" s="54" t="s">
        <v>2</v>
      </c>
      <c r="B9" s="55" t="s">
        <v>3</v>
      </c>
      <c r="C9" s="55" t="s">
        <v>4</v>
      </c>
      <c r="D9" s="55" t="s">
        <v>5</v>
      </c>
      <c r="E9" s="56" t="s">
        <v>6</v>
      </c>
      <c r="F9" s="57" t="s">
        <v>3</v>
      </c>
      <c r="G9" s="57" t="s">
        <v>4</v>
      </c>
      <c r="H9" s="57" t="s">
        <v>5</v>
      </c>
      <c r="I9" s="58" t="s">
        <v>6</v>
      </c>
      <c r="J9" s="59" t="s">
        <v>8</v>
      </c>
      <c r="K9" s="57" t="s">
        <v>3</v>
      </c>
      <c r="L9" s="57" t="s">
        <v>4</v>
      </c>
      <c r="M9" s="57" t="s">
        <v>5</v>
      </c>
      <c r="N9" s="58" t="s">
        <v>6</v>
      </c>
      <c r="O9" s="57" t="s">
        <v>3</v>
      </c>
      <c r="P9" s="57" t="s">
        <v>4</v>
      </c>
      <c r="Q9" s="57" t="s">
        <v>5</v>
      </c>
      <c r="R9" s="60" t="s">
        <v>6</v>
      </c>
    </row>
    <row r="10" spans="1:18" ht="15.75" customHeight="1" thickTop="1">
      <c r="A10" s="34"/>
      <c r="B10" s="74"/>
      <c r="C10" s="74"/>
      <c r="D10" s="74"/>
      <c r="E10" s="75" t="s">
        <v>38</v>
      </c>
      <c r="F10" s="74"/>
      <c r="G10" s="74"/>
      <c r="H10" s="74"/>
      <c r="I10" s="75" t="s">
        <v>38</v>
      </c>
      <c r="J10" s="38" t="s">
        <v>38</v>
      </c>
      <c r="K10" s="74"/>
      <c r="L10" s="74"/>
      <c r="M10" s="74"/>
      <c r="N10" s="75"/>
      <c r="O10" s="74"/>
      <c r="P10" s="74"/>
      <c r="Q10" s="74"/>
      <c r="R10" s="76"/>
    </row>
    <row r="11" spans="1:18" ht="15.75" customHeight="1">
      <c r="A11" s="34" t="s">
        <v>10</v>
      </c>
      <c r="B11" s="35">
        <v>45536</v>
      </c>
      <c r="C11" s="35">
        <v>7800</v>
      </c>
      <c r="D11" s="35">
        <v>10</v>
      </c>
      <c r="E11" s="36">
        <f aca="true" t="shared" si="0" ref="E11:E33">+B11+C11+D11</f>
        <v>53346</v>
      </c>
      <c r="F11" s="35">
        <v>43711</v>
      </c>
      <c r="G11" s="35">
        <v>0</v>
      </c>
      <c r="H11" s="35">
        <v>2</v>
      </c>
      <c r="I11" s="36">
        <f aca="true" t="shared" si="1" ref="I11:I33">+F11+G11+H11</f>
        <v>43713</v>
      </c>
      <c r="J11" s="38">
        <f aca="true" t="shared" si="2" ref="J11:J34">IF(+E11&gt;0,(+I11-E11)/E11,0)</f>
        <v>-0.1805758632324823</v>
      </c>
      <c r="K11" s="39">
        <f aca="true" t="shared" si="3" ref="K11:K33">+B11/$B$34</f>
        <v>0.04620759504871656</v>
      </c>
      <c r="L11" s="39">
        <f aca="true" t="shared" si="4" ref="L11:L33">+C11/$C$34</f>
        <v>0.04955716228064602</v>
      </c>
      <c r="M11" s="39">
        <f aca="true" t="shared" si="5" ref="M11:M33">+D11/$D$34</f>
        <v>0.0002104416960758937</v>
      </c>
      <c r="N11" s="40">
        <f aca="true" t="shared" si="6" ref="N11:N33">+E11/$E$34</f>
        <v>0.044814306168759054</v>
      </c>
      <c r="O11" s="39">
        <f aca="true" t="shared" si="7" ref="O11:O33">+F11/$F$34</f>
        <v>0.04684487531360485</v>
      </c>
      <c r="P11" s="39">
        <f aca="true" t="shared" si="8" ref="P11:P33">+G11/$G$34</f>
        <v>0</v>
      </c>
      <c r="Q11" s="39">
        <f aca="true" t="shared" si="9" ref="Q11:Q33">+H11/$H$34</f>
        <v>7.955133049600255E-05</v>
      </c>
      <c r="R11" s="41">
        <f aca="true" t="shared" si="10" ref="R11:R33">+I11/$I$34</f>
        <v>0.028620946135291637</v>
      </c>
    </row>
    <row r="12" spans="1:86" s="72" customFormat="1" ht="15" customHeight="1">
      <c r="A12" s="90" t="s">
        <v>54</v>
      </c>
      <c r="B12" s="91">
        <v>32252.7</v>
      </c>
      <c r="C12" s="91">
        <v>0</v>
      </c>
      <c r="D12" s="91">
        <v>2982.1</v>
      </c>
      <c r="E12" s="92">
        <f t="shared" si="0"/>
        <v>35234.8</v>
      </c>
      <c r="F12" s="91">
        <v>55764</v>
      </c>
      <c r="G12" s="91">
        <v>0</v>
      </c>
      <c r="H12" s="91">
        <v>0</v>
      </c>
      <c r="I12" s="92">
        <f t="shared" si="1"/>
        <v>55764</v>
      </c>
      <c r="J12" s="93">
        <f t="shared" si="2"/>
        <v>0.5826398901086425</v>
      </c>
      <c r="K12" s="94">
        <f t="shared" si="3"/>
        <v>0.032728384153806675</v>
      </c>
      <c r="L12" s="94">
        <f t="shared" si="4"/>
        <v>0</v>
      </c>
      <c r="M12" s="94">
        <f t="shared" si="5"/>
        <v>0.06275581818679225</v>
      </c>
      <c r="N12" s="95">
        <f t="shared" si="6"/>
        <v>0.029599653488452584</v>
      </c>
      <c r="O12" s="94">
        <f t="shared" si="7"/>
        <v>0.059762019331240666</v>
      </c>
      <c r="P12" s="94">
        <f t="shared" si="8"/>
        <v>0</v>
      </c>
      <c r="Q12" s="94">
        <f t="shared" si="9"/>
        <v>0</v>
      </c>
      <c r="R12" s="96">
        <f t="shared" si="10"/>
        <v>0.03651129961998497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</row>
    <row r="13" spans="1:18" ht="15.75" customHeight="1">
      <c r="A13" s="34" t="s">
        <v>11</v>
      </c>
      <c r="B13" s="35">
        <v>46942</v>
      </c>
      <c r="C13" s="35">
        <v>0</v>
      </c>
      <c r="D13" s="35">
        <v>173</v>
      </c>
      <c r="E13" s="36">
        <f t="shared" si="0"/>
        <v>47115</v>
      </c>
      <c r="F13" s="35">
        <v>21750</v>
      </c>
      <c r="G13" s="35">
        <v>0</v>
      </c>
      <c r="H13" s="35">
        <v>49</v>
      </c>
      <c r="I13" s="36">
        <f t="shared" si="1"/>
        <v>21799</v>
      </c>
      <c r="J13" s="38">
        <f t="shared" si="2"/>
        <v>-0.5373235699883264</v>
      </c>
      <c r="K13" s="39">
        <f t="shared" si="3"/>
        <v>0.04763433166674396</v>
      </c>
      <c r="L13" s="39">
        <f t="shared" si="4"/>
        <v>0</v>
      </c>
      <c r="M13" s="39">
        <f t="shared" si="5"/>
        <v>0.003640641342112961</v>
      </c>
      <c r="N13" s="40">
        <f t="shared" si="6"/>
        <v>0.0395798379473828</v>
      </c>
      <c r="O13" s="39">
        <f t="shared" si="7"/>
        <v>0.023309373797691782</v>
      </c>
      <c r="P13" s="39">
        <f t="shared" si="8"/>
        <v>0</v>
      </c>
      <c r="Q13" s="39">
        <f t="shared" si="9"/>
        <v>0.0019490075971520624</v>
      </c>
      <c r="R13" s="41">
        <f t="shared" si="10"/>
        <v>0.014272825127610148</v>
      </c>
    </row>
    <row r="14" spans="1:86" s="72" customFormat="1" ht="15.75" customHeight="1">
      <c r="A14" s="90" t="s">
        <v>12</v>
      </c>
      <c r="B14" s="91">
        <v>33004</v>
      </c>
      <c r="C14" s="91">
        <v>0</v>
      </c>
      <c r="D14" s="91">
        <v>0</v>
      </c>
      <c r="E14" s="92">
        <f t="shared" si="0"/>
        <v>33004</v>
      </c>
      <c r="F14" s="91">
        <v>39003</v>
      </c>
      <c r="G14" s="91">
        <v>985</v>
      </c>
      <c r="H14" s="91">
        <v>0</v>
      </c>
      <c r="I14" s="92">
        <f t="shared" si="1"/>
        <v>39988</v>
      </c>
      <c r="J14" s="93">
        <f t="shared" si="2"/>
        <v>0.2116107138528663</v>
      </c>
      <c r="K14" s="94">
        <f t="shared" si="3"/>
        <v>0.03349076482316939</v>
      </c>
      <c r="L14" s="94">
        <f t="shared" si="4"/>
        <v>0</v>
      </c>
      <c r="M14" s="94">
        <f t="shared" si="5"/>
        <v>0</v>
      </c>
      <c r="N14" s="95">
        <f t="shared" si="6"/>
        <v>0.02772562817819</v>
      </c>
      <c r="O14" s="94">
        <f t="shared" si="7"/>
        <v>0.04179933361983322</v>
      </c>
      <c r="P14" s="94">
        <f t="shared" si="8"/>
        <v>0.001730906432645774</v>
      </c>
      <c r="Q14" s="94">
        <f t="shared" si="9"/>
        <v>0</v>
      </c>
      <c r="R14" s="96">
        <f t="shared" si="10"/>
        <v>0.02618201436776341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</row>
    <row r="15" spans="1:18" ht="15.75" customHeight="1">
      <c r="A15" s="34" t="s">
        <v>66</v>
      </c>
      <c r="B15" s="71">
        <v>11471</v>
      </c>
      <c r="C15" s="71">
        <v>0</v>
      </c>
      <c r="D15" s="71">
        <v>0</v>
      </c>
      <c r="E15" s="36">
        <f t="shared" si="0"/>
        <v>11471</v>
      </c>
      <c r="F15" s="35">
        <v>19010</v>
      </c>
      <c r="G15" s="35">
        <v>0</v>
      </c>
      <c r="H15" s="35">
        <v>0</v>
      </c>
      <c r="I15" s="36">
        <f t="shared" si="1"/>
        <v>19010</v>
      </c>
      <c r="J15" s="38">
        <f t="shared" si="2"/>
        <v>0.6572225612413913</v>
      </c>
      <c r="K15" s="39">
        <f t="shared" si="3"/>
        <v>0.011640181895727067</v>
      </c>
      <c r="L15" s="39">
        <f t="shared" si="4"/>
        <v>0</v>
      </c>
      <c r="M15" s="39">
        <f t="shared" si="5"/>
        <v>0</v>
      </c>
      <c r="N15" s="40">
        <f t="shared" si="6"/>
        <v>0.009636428336929388</v>
      </c>
      <c r="O15" s="39">
        <f t="shared" si="7"/>
        <v>0.02037292854685613</v>
      </c>
      <c r="P15" s="39">
        <f t="shared" si="8"/>
        <v>0</v>
      </c>
      <c r="Q15" s="39">
        <f t="shared" si="9"/>
        <v>0</v>
      </c>
      <c r="R15" s="41">
        <f t="shared" si="10"/>
        <v>0.012446736349184317</v>
      </c>
    </row>
    <row r="16" spans="1:86" s="72" customFormat="1" ht="15.75" customHeight="1">
      <c r="A16" s="90" t="s">
        <v>56</v>
      </c>
      <c r="B16" s="91">
        <v>0</v>
      </c>
      <c r="C16" s="91">
        <v>0</v>
      </c>
      <c r="D16" s="91">
        <v>13714</v>
      </c>
      <c r="E16" s="92">
        <f t="shared" si="0"/>
        <v>13714</v>
      </c>
      <c r="F16" s="91">
        <v>0</v>
      </c>
      <c r="G16" s="91">
        <v>0</v>
      </c>
      <c r="H16" s="91">
        <v>8262</v>
      </c>
      <c r="I16" s="92">
        <f t="shared" si="1"/>
        <v>8262</v>
      </c>
      <c r="J16" s="93">
        <f t="shared" si="2"/>
        <v>-0.3975499489572699</v>
      </c>
      <c r="K16" s="94">
        <f t="shared" si="3"/>
        <v>0</v>
      </c>
      <c r="L16" s="94">
        <f t="shared" si="4"/>
        <v>0</v>
      </c>
      <c r="M16" s="94">
        <f t="shared" si="5"/>
        <v>0.2885997419984806</v>
      </c>
      <c r="N16" s="95">
        <f t="shared" si="6"/>
        <v>0.011520702485628944</v>
      </c>
      <c r="O16" s="94">
        <f t="shared" si="7"/>
        <v>0</v>
      </c>
      <c r="P16" s="94">
        <f t="shared" si="8"/>
        <v>0</v>
      </c>
      <c r="Q16" s="94">
        <f t="shared" si="9"/>
        <v>0.3286265462789865</v>
      </c>
      <c r="R16" s="96">
        <f t="shared" si="10"/>
        <v>0.005409517923038444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</row>
    <row r="17" spans="1:18" ht="15.75" customHeight="1">
      <c r="A17" s="34" t="s">
        <v>31</v>
      </c>
      <c r="B17" s="35">
        <v>86577</v>
      </c>
      <c r="C17" s="35">
        <v>2242</v>
      </c>
      <c r="D17" s="35">
        <v>0</v>
      </c>
      <c r="E17" s="36">
        <f t="shared" si="0"/>
        <v>88819</v>
      </c>
      <c r="F17" s="35">
        <v>37248</v>
      </c>
      <c r="G17" s="35">
        <v>29359</v>
      </c>
      <c r="H17" s="35">
        <v>0</v>
      </c>
      <c r="I17" s="36">
        <f t="shared" si="1"/>
        <v>66607</v>
      </c>
      <c r="J17" s="38">
        <f t="shared" si="2"/>
        <v>-0.2500816266789763</v>
      </c>
      <c r="K17" s="39">
        <f t="shared" si="3"/>
        <v>0.08785389486412364</v>
      </c>
      <c r="L17" s="39">
        <f t="shared" si="4"/>
        <v>0.014244507414513895</v>
      </c>
      <c r="M17" s="39">
        <f t="shared" si="5"/>
        <v>0</v>
      </c>
      <c r="N17" s="40">
        <f t="shared" si="6"/>
        <v>0.07461406402734995</v>
      </c>
      <c r="O17" s="39">
        <f t="shared" si="7"/>
        <v>0.03991850828581257</v>
      </c>
      <c r="P17" s="39">
        <f t="shared" si="8"/>
        <v>0.05159155528532718</v>
      </c>
      <c r="Q17" s="39">
        <f t="shared" si="9"/>
        <v>0</v>
      </c>
      <c r="R17" s="41">
        <f t="shared" si="10"/>
        <v>0.043610718990537596</v>
      </c>
    </row>
    <row r="18" spans="1:86" s="72" customFormat="1" ht="15.75" customHeight="1">
      <c r="A18" s="90" t="s">
        <v>13</v>
      </c>
      <c r="B18" s="91">
        <v>0</v>
      </c>
      <c r="C18" s="91">
        <v>0</v>
      </c>
      <c r="D18" s="91">
        <v>4924</v>
      </c>
      <c r="E18" s="92">
        <f t="shared" si="0"/>
        <v>4924</v>
      </c>
      <c r="F18" s="91">
        <v>0</v>
      </c>
      <c r="G18" s="91">
        <v>0</v>
      </c>
      <c r="H18" s="91">
        <v>3457</v>
      </c>
      <c r="I18" s="92">
        <f t="shared" si="1"/>
        <v>3457</v>
      </c>
      <c r="J18" s="93">
        <f t="shared" si="2"/>
        <v>-0.29792851340373677</v>
      </c>
      <c r="K18" s="94">
        <f t="shared" si="3"/>
        <v>0</v>
      </c>
      <c r="L18" s="94">
        <f t="shared" si="4"/>
        <v>0</v>
      </c>
      <c r="M18" s="94">
        <f t="shared" si="5"/>
        <v>0.10362149114777006</v>
      </c>
      <c r="N18" s="95">
        <f t="shared" si="6"/>
        <v>0.004136498398660997</v>
      </c>
      <c r="O18" s="94">
        <f t="shared" si="7"/>
        <v>0</v>
      </c>
      <c r="P18" s="94">
        <f t="shared" si="8"/>
        <v>0</v>
      </c>
      <c r="Q18" s="94">
        <f t="shared" si="9"/>
        <v>0.1375044747623404</v>
      </c>
      <c r="R18" s="96">
        <f t="shared" si="10"/>
        <v>0.0022634596296228398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</row>
    <row r="19" spans="1:18" ht="15.75" customHeight="1">
      <c r="A19" s="34" t="s">
        <v>64</v>
      </c>
      <c r="B19" s="35">
        <v>20305</v>
      </c>
      <c r="C19" s="35">
        <v>1269</v>
      </c>
      <c r="D19" s="35">
        <v>0</v>
      </c>
      <c r="E19" s="36">
        <f>+B19+C19+D19</f>
        <v>21574</v>
      </c>
      <c r="F19" s="35">
        <v>16231</v>
      </c>
      <c r="G19" s="35">
        <v>0</v>
      </c>
      <c r="H19" s="35">
        <v>0</v>
      </c>
      <c r="I19" s="36">
        <f>+F19+G19+H19</f>
        <v>16231</v>
      </c>
      <c r="J19" s="38">
        <f>IF(+E19&gt;0,(+I19-E19)/E19,0)</f>
        <v>-0.24765921943079633</v>
      </c>
      <c r="K19" s="39">
        <f t="shared" si="3"/>
        <v>0.020604471571156663</v>
      </c>
      <c r="L19" s="39">
        <f t="shared" si="4"/>
        <v>0.008062569094120488</v>
      </c>
      <c r="M19" s="39">
        <f t="shared" si="5"/>
        <v>0</v>
      </c>
      <c r="N19" s="40">
        <f t="shared" si="6"/>
        <v>0.018123642658958643</v>
      </c>
      <c r="O19" s="39">
        <f t="shared" si="7"/>
        <v>0.01739468717748668</v>
      </c>
      <c r="P19" s="39">
        <f t="shared" si="8"/>
        <v>0</v>
      </c>
      <c r="Q19" s="39">
        <f t="shared" si="9"/>
        <v>0</v>
      </c>
      <c r="R19" s="41">
        <f t="shared" si="10"/>
        <v>0.010627195038590775</v>
      </c>
    </row>
    <row r="20" spans="1:86" s="72" customFormat="1" ht="15.75" customHeight="1">
      <c r="A20" s="90" t="s">
        <v>14</v>
      </c>
      <c r="B20" s="91">
        <v>31397</v>
      </c>
      <c r="C20" s="91">
        <v>4952</v>
      </c>
      <c r="D20" s="91">
        <v>131</v>
      </c>
      <c r="E20" s="92">
        <f t="shared" si="0"/>
        <v>36480</v>
      </c>
      <c r="F20" s="91">
        <v>27746</v>
      </c>
      <c r="G20" s="91">
        <v>5133</v>
      </c>
      <c r="H20" s="91">
        <v>92</v>
      </c>
      <c r="I20" s="92">
        <f t="shared" si="1"/>
        <v>32971</v>
      </c>
      <c r="J20" s="93">
        <f t="shared" si="2"/>
        <v>-0.09618969298245614</v>
      </c>
      <c r="K20" s="94">
        <f t="shared" si="3"/>
        <v>0.03186006372418645</v>
      </c>
      <c r="L20" s="94">
        <f t="shared" si="4"/>
        <v>0.031462444565866554</v>
      </c>
      <c r="M20" s="94">
        <f t="shared" si="5"/>
        <v>0.0027567862185942076</v>
      </c>
      <c r="N20" s="95">
        <f t="shared" si="6"/>
        <v>0.03064570706400349</v>
      </c>
      <c r="O20" s="94">
        <f t="shared" si="7"/>
        <v>0.029735259098425573</v>
      </c>
      <c r="P20" s="94">
        <f t="shared" si="8"/>
        <v>0.009020043369310414</v>
      </c>
      <c r="Q20" s="94">
        <f t="shared" si="9"/>
        <v>0.003659361202816117</v>
      </c>
      <c r="R20" s="96">
        <f t="shared" si="10"/>
        <v>0.02158765618984514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</row>
    <row r="21" spans="1:18" ht="15.75" customHeight="1">
      <c r="A21" s="34" t="s">
        <v>15</v>
      </c>
      <c r="B21" s="71">
        <v>0</v>
      </c>
      <c r="C21" s="71">
        <v>6885</v>
      </c>
      <c r="D21" s="71">
        <v>1128</v>
      </c>
      <c r="E21" s="36">
        <f t="shared" si="0"/>
        <v>8013</v>
      </c>
      <c r="F21" s="35">
        <v>0</v>
      </c>
      <c r="G21" s="35">
        <v>168</v>
      </c>
      <c r="H21" s="35">
        <v>950</v>
      </c>
      <c r="I21" s="36">
        <f t="shared" si="1"/>
        <v>1118</v>
      </c>
      <c r="J21" s="38">
        <f t="shared" si="2"/>
        <v>-0.8604767253213528</v>
      </c>
      <c r="K21" s="39">
        <f t="shared" si="3"/>
        <v>0</v>
      </c>
      <c r="L21" s="39">
        <f t="shared" si="4"/>
        <v>0.043743725936185626</v>
      </c>
      <c r="M21" s="39">
        <f t="shared" si="5"/>
        <v>0.02373782331736081</v>
      </c>
      <c r="N21" s="40">
        <f t="shared" si="6"/>
        <v>0.006731470688154056</v>
      </c>
      <c r="O21" s="39">
        <f t="shared" si="7"/>
        <v>0</v>
      </c>
      <c r="P21" s="39">
        <f t="shared" si="8"/>
        <v>0.000295220589527401</v>
      </c>
      <c r="Q21" s="39">
        <f t="shared" si="9"/>
        <v>0.037786881985601206</v>
      </c>
      <c r="R21" s="41">
        <f t="shared" si="10"/>
        <v>0.0007320069036500824</v>
      </c>
    </row>
    <row r="22" spans="1:86" s="72" customFormat="1" ht="15.75" customHeight="1">
      <c r="A22" s="90" t="s">
        <v>70</v>
      </c>
      <c r="B22" s="91">
        <v>6381</v>
      </c>
      <c r="C22" s="91">
        <v>1252</v>
      </c>
      <c r="D22" s="91">
        <v>0</v>
      </c>
      <c r="E22" s="92">
        <f>+B22+C22+D22</f>
        <v>7633</v>
      </c>
      <c r="F22" s="91">
        <v>3155</v>
      </c>
      <c r="G22" s="91">
        <v>12924</v>
      </c>
      <c r="H22" s="91">
        <v>0</v>
      </c>
      <c r="I22" s="92">
        <f>+F22+G22+H22</f>
        <v>16079</v>
      </c>
      <c r="J22" s="93">
        <f>IF(+E22&gt;0,(+I22-E22)/E22,0)</f>
        <v>1.106511201362505</v>
      </c>
      <c r="K22" s="94">
        <f t="shared" si="3"/>
        <v>0.006475111208842682</v>
      </c>
      <c r="L22" s="94">
        <f t="shared" si="4"/>
        <v>0.007954559894278054</v>
      </c>
      <c r="M22" s="94">
        <f t="shared" si="5"/>
        <v>0</v>
      </c>
      <c r="N22" s="95">
        <f t="shared" si="6"/>
        <v>0.0064122445729040195</v>
      </c>
      <c r="O22" s="94">
        <f t="shared" si="7"/>
        <v>0.0033811988198490838</v>
      </c>
      <c r="P22" s="94">
        <f t="shared" si="8"/>
        <v>0.022710898208643637</v>
      </c>
      <c r="Q22" s="94">
        <f t="shared" si="9"/>
        <v>0</v>
      </c>
      <c r="R22" s="96">
        <f t="shared" si="10"/>
        <v>0.01052767352753996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</row>
    <row r="23" spans="1:18" ht="15.75" customHeight="1">
      <c r="A23" s="34" t="s">
        <v>58</v>
      </c>
      <c r="B23" s="35">
        <v>86009</v>
      </c>
      <c r="C23" s="35">
        <v>0</v>
      </c>
      <c r="D23" s="35">
        <v>6</v>
      </c>
      <c r="E23" s="36">
        <f t="shared" si="0"/>
        <v>86015</v>
      </c>
      <c r="F23" s="35">
        <v>93584</v>
      </c>
      <c r="G23" s="35">
        <v>0</v>
      </c>
      <c r="H23" s="35">
        <v>4</v>
      </c>
      <c r="I23" s="36">
        <f t="shared" si="1"/>
        <v>93588</v>
      </c>
      <c r="J23" s="38">
        <f t="shared" si="2"/>
        <v>0.08804278323548219</v>
      </c>
      <c r="K23" s="39">
        <f t="shared" si="3"/>
        <v>0.08727751762440844</v>
      </c>
      <c r="L23" s="39">
        <f t="shared" si="4"/>
        <v>0</v>
      </c>
      <c r="M23" s="39">
        <f t="shared" si="5"/>
        <v>0.0001262650176455362</v>
      </c>
      <c r="N23" s="40">
        <f t="shared" si="6"/>
        <v>0.07225851132429441</v>
      </c>
      <c r="O23" s="39">
        <f t="shared" si="7"/>
        <v>0.10029353735554887</v>
      </c>
      <c r="P23" s="39">
        <f t="shared" si="8"/>
        <v>0</v>
      </c>
      <c r="Q23" s="39">
        <f t="shared" si="9"/>
        <v>0.0001591026609920051</v>
      </c>
      <c r="R23" s="41">
        <f t="shared" si="10"/>
        <v>0.06127644194884071</v>
      </c>
    </row>
    <row r="24" spans="1:86" s="72" customFormat="1" ht="15.75" customHeight="1">
      <c r="A24" s="90" t="s">
        <v>33</v>
      </c>
      <c r="B24" s="91">
        <v>134393</v>
      </c>
      <c r="C24" s="91">
        <v>27293</v>
      </c>
      <c r="D24" s="91">
        <v>0</v>
      </c>
      <c r="E24" s="92">
        <f t="shared" si="0"/>
        <v>161686</v>
      </c>
      <c r="F24" s="114" t="s">
        <v>71</v>
      </c>
      <c r="G24" s="115"/>
      <c r="H24" s="115"/>
      <c r="I24" s="116"/>
      <c r="J24" s="93">
        <v>0</v>
      </c>
      <c r="K24" s="94">
        <f t="shared" si="3"/>
        <v>0.13637511686099274</v>
      </c>
      <c r="L24" s="94">
        <f t="shared" si="4"/>
        <v>0.17340559360585536</v>
      </c>
      <c r="M24" s="94">
        <f t="shared" si="5"/>
        <v>0</v>
      </c>
      <c r="N24" s="95">
        <f t="shared" si="6"/>
        <v>0.1358273517639931</v>
      </c>
      <c r="O24" s="94">
        <v>0</v>
      </c>
      <c r="P24" s="94">
        <f t="shared" si="8"/>
        <v>0</v>
      </c>
      <c r="Q24" s="94">
        <f t="shared" si="9"/>
        <v>0</v>
      </c>
      <c r="R24" s="96">
        <f t="shared" si="10"/>
        <v>0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</row>
    <row r="25" spans="1:18" ht="15.75" customHeight="1">
      <c r="A25" s="34" t="s">
        <v>16</v>
      </c>
      <c r="B25" s="35">
        <v>0</v>
      </c>
      <c r="C25" s="35">
        <v>648</v>
      </c>
      <c r="D25" s="35">
        <v>14304</v>
      </c>
      <c r="E25" s="36">
        <f t="shared" si="0"/>
        <v>14952</v>
      </c>
      <c r="F25" s="35">
        <v>0</v>
      </c>
      <c r="G25" s="35">
        <v>39</v>
      </c>
      <c r="H25" s="35">
        <v>11472</v>
      </c>
      <c r="I25" s="36">
        <f t="shared" si="1"/>
        <v>11511</v>
      </c>
      <c r="J25" s="38">
        <f t="shared" si="2"/>
        <v>-0.23013643659711075</v>
      </c>
      <c r="K25" s="39">
        <f t="shared" si="3"/>
        <v>0</v>
      </c>
      <c r="L25" s="39">
        <f t="shared" si="4"/>
        <v>0.004117056558699823</v>
      </c>
      <c r="M25" s="39">
        <f t="shared" si="5"/>
        <v>0.3010158020669583</v>
      </c>
      <c r="N25" s="40">
        <f t="shared" si="6"/>
        <v>0.012560707566364588</v>
      </c>
      <c r="O25" s="39">
        <f t="shared" si="7"/>
        <v>0</v>
      </c>
      <c r="P25" s="39">
        <f t="shared" si="8"/>
        <v>6.853335114028952E-05</v>
      </c>
      <c r="Q25" s="39">
        <f t="shared" si="9"/>
        <v>0.4563064317250706</v>
      </c>
      <c r="R25" s="41">
        <f t="shared" si="10"/>
        <v>0.00753679022174964</v>
      </c>
    </row>
    <row r="26" spans="1:86" s="72" customFormat="1" ht="15.75" customHeight="1">
      <c r="A26" s="90" t="s">
        <v>17</v>
      </c>
      <c r="B26" s="91">
        <v>119859</v>
      </c>
      <c r="C26" s="91">
        <v>903</v>
      </c>
      <c r="D26" s="91">
        <v>2663</v>
      </c>
      <c r="E26" s="92">
        <f t="shared" si="0"/>
        <v>123425</v>
      </c>
      <c r="F26" s="91">
        <v>103679</v>
      </c>
      <c r="G26" s="91">
        <v>6122</v>
      </c>
      <c r="H26" s="91">
        <v>680</v>
      </c>
      <c r="I26" s="92">
        <f t="shared" si="1"/>
        <v>110481</v>
      </c>
      <c r="J26" s="93">
        <f t="shared" si="2"/>
        <v>-0.10487340490176221</v>
      </c>
      <c r="K26" s="94">
        <f t="shared" si="3"/>
        <v>0.1216267598151818</v>
      </c>
      <c r="L26" s="94">
        <f t="shared" si="4"/>
        <v>0.005737194556336328</v>
      </c>
      <c r="M26" s="94">
        <f t="shared" si="5"/>
        <v>0.05604062366501049</v>
      </c>
      <c r="N26" s="95">
        <f t="shared" si="6"/>
        <v>0.10368548230193615</v>
      </c>
      <c r="O26" s="94">
        <f t="shared" si="7"/>
        <v>0.11111230188371891</v>
      </c>
      <c r="P26" s="94">
        <f t="shared" si="8"/>
        <v>0.010757978863611602</v>
      </c>
      <c r="Q26" s="94">
        <f t="shared" si="9"/>
        <v>0.027047452368640864</v>
      </c>
      <c r="R26" s="96">
        <f t="shared" si="10"/>
        <v>0.07233707935792912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</row>
    <row r="27" spans="1:18" ht="15.75" customHeight="1">
      <c r="A27" s="34" t="s">
        <v>18</v>
      </c>
      <c r="B27" s="35">
        <v>0</v>
      </c>
      <c r="C27" s="35">
        <v>0</v>
      </c>
      <c r="D27" s="35">
        <v>0</v>
      </c>
      <c r="E27" s="36">
        <f t="shared" si="0"/>
        <v>0</v>
      </c>
      <c r="F27" s="35">
        <v>0</v>
      </c>
      <c r="G27" s="35">
        <v>0</v>
      </c>
      <c r="H27" s="35">
        <v>0</v>
      </c>
      <c r="I27" s="36">
        <f t="shared" si="1"/>
        <v>0</v>
      </c>
      <c r="J27" s="38">
        <f t="shared" si="2"/>
        <v>0</v>
      </c>
      <c r="K27" s="39">
        <f t="shared" si="3"/>
        <v>0</v>
      </c>
      <c r="L27" s="39">
        <f t="shared" si="4"/>
        <v>0</v>
      </c>
      <c r="M27" s="39">
        <f t="shared" si="5"/>
        <v>0</v>
      </c>
      <c r="N27" s="40">
        <f t="shared" si="6"/>
        <v>0</v>
      </c>
      <c r="O27" s="39">
        <f t="shared" si="7"/>
        <v>0</v>
      </c>
      <c r="P27" s="39">
        <f t="shared" si="8"/>
        <v>0</v>
      </c>
      <c r="Q27" s="39">
        <f t="shared" si="9"/>
        <v>0</v>
      </c>
      <c r="R27" s="41">
        <f t="shared" si="10"/>
        <v>0</v>
      </c>
    </row>
    <row r="28" spans="1:86" s="72" customFormat="1" ht="15.75" customHeight="1">
      <c r="A28" s="90" t="s">
        <v>19</v>
      </c>
      <c r="B28" s="91">
        <v>1069</v>
      </c>
      <c r="C28" s="91">
        <v>1338</v>
      </c>
      <c r="D28" s="91">
        <v>173</v>
      </c>
      <c r="E28" s="92">
        <f t="shared" si="0"/>
        <v>2580</v>
      </c>
      <c r="F28" s="91">
        <v>1301</v>
      </c>
      <c r="G28" s="91">
        <v>0</v>
      </c>
      <c r="H28" s="91">
        <v>173</v>
      </c>
      <c r="I28" s="92">
        <f t="shared" si="1"/>
        <v>1474</v>
      </c>
      <c r="J28" s="93">
        <f t="shared" si="2"/>
        <v>-0.42868217054263563</v>
      </c>
      <c r="K28" s="94">
        <f t="shared" si="3"/>
        <v>0.0010847663191118676</v>
      </c>
      <c r="L28" s="94">
        <f t="shared" si="4"/>
        <v>0.008500959375833894</v>
      </c>
      <c r="M28" s="94">
        <f t="shared" si="5"/>
        <v>0.003640641342112961</v>
      </c>
      <c r="N28" s="95">
        <f t="shared" si="6"/>
        <v>0.0021673773088028785</v>
      </c>
      <c r="O28" s="94">
        <f t="shared" si="7"/>
        <v>0.0013942756464734257</v>
      </c>
      <c r="P28" s="94">
        <f t="shared" si="8"/>
        <v>0</v>
      </c>
      <c r="Q28" s="94">
        <f t="shared" si="9"/>
        <v>0.00688119008790422</v>
      </c>
      <c r="R28" s="96">
        <f t="shared" si="10"/>
        <v>0.0009650967584796256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</row>
    <row r="29" spans="1:18" ht="15.75" customHeight="1">
      <c r="A29" s="34" t="s">
        <v>20</v>
      </c>
      <c r="B29" s="71">
        <v>119449</v>
      </c>
      <c r="C29" s="71">
        <v>9734</v>
      </c>
      <c r="D29" s="71">
        <v>0</v>
      </c>
      <c r="E29" s="36">
        <f t="shared" si="0"/>
        <v>129183</v>
      </c>
      <c r="F29" s="35">
        <v>112746</v>
      </c>
      <c r="G29" s="35">
        <v>20682</v>
      </c>
      <c r="H29" s="35">
        <v>0</v>
      </c>
      <c r="I29" s="36">
        <f t="shared" si="1"/>
        <v>133428</v>
      </c>
      <c r="J29" s="38">
        <f t="shared" si="2"/>
        <v>0.03286036088339797</v>
      </c>
      <c r="K29" s="39">
        <f t="shared" si="3"/>
        <v>0.12121071286397893</v>
      </c>
      <c r="L29" s="39">
        <f t="shared" si="4"/>
        <v>0.06184479713330877</v>
      </c>
      <c r="M29" s="39">
        <f t="shared" si="5"/>
        <v>0</v>
      </c>
      <c r="N29" s="40">
        <f t="shared" si="6"/>
        <v>0.10852259801669854</v>
      </c>
      <c r="O29" s="39">
        <f t="shared" si="7"/>
        <v>0.12082936359515208</v>
      </c>
      <c r="P29" s="39">
        <f t="shared" si="8"/>
        <v>0.036343763289319694</v>
      </c>
      <c r="Q29" s="39">
        <f t="shared" si="9"/>
        <v>0</v>
      </c>
      <c r="R29" s="41">
        <f t="shared" si="10"/>
        <v>0.08736155379268622</v>
      </c>
    </row>
    <row r="30" spans="1:86" s="72" customFormat="1" ht="15.75" customHeight="1">
      <c r="A30" s="90" t="s">
        <v>59</v>
      </c>
      <c r="B30" s="91">
        <v>844</v>
      </c>
      <c r="C30" s="91">
        <v>3</v>
      </c>
      <c r="D30" s="91">
        <v>0</v>
      </c>
      <c r="E30" s="92">
        <f t="shared" si="0"/>
        <v>847</v>
      </c>
      <c r="F30" s="98" t="s">
        <v>76</v>
      </c>
      <c r="G30" s="98" t="s">
        <v>76</v>
      </c>
      <c r="H30" s="98" t="s">
        <v>76</v>
      </c>
      <c r="I30" s="99" t="s">
        <v>76</v>
      </c>
      <c r="J30" s="100" t="s">
        <v>76</v>
      </c>
      <c r="K30" s="94">
        <f t="shared" si="3"/>
        <v>0.0008564478702810255</v>
      </c>
      <c r="L30" s="94">
        <f t="shared" si="4"/>
        <v>1.90604470310177E-05</v>
      </c>
      <c r="M30" s="94">
        <f t="shared" si="5"/>
        <v>0</v>
      </c>
      <c r="N30" s="95">
        <f t="shared" si="6"/>
        <v>0.0007115382095178442</v>
      </c>
      <c r="O30" s="101" t="s">
        <v>76</v>
      </c>
      <c r="P30" s="101" t="s">
        <v>76</v>
      </c>
      <c r="Q30" s="101" t="s">
        <v>76</v>
      </c>
      <c r="R30" s="102" t="s">
        <v>76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</row>
    <row r="31" spans="1:18" ht="15.75" customHeight="1">
      <c r="A31" s="34" t="s">
        <v>60</v>
      </c>
      <c r="B31" s="35">
        <v>5060</v>
      </c>
      <c r="C31" s="35">
        <v>0</v>
      </c>
      <c r="D31" s="35">
        <v>7311</v>
      </c>
      <c r="E31" s="36">
        <f t="shared" si="0"/>
        <v>12371</v>
      </c>
      <c r="F31" s="35">
        <v>26045</v>
      </c>
      <c r="G31" s="35">
        <v>319</v>
      </c>
      <c r="H31" s="35">
        <v>0</v>
      </c>
      <c r="I31" s="36">
        <f>+F31+G31+H31</f>
        <v>26364</v>
      </c>
      <c r="J31" s="38">
        <f>IF(+E31&gt;0,(+I31-E31)/E31,0)</f>
        <v>1.1311130870584432</v>
      </c>
      <c r="K31" s="39">
        <f t="shared" si="3"/>
        <v>0.005134628227040272</v>
      </c>
      <c r="L31" s="39">
        <f t="shared" si="4"/>
        <v>0</v>
      </c>
      <c r="M31" s="39">
        <f t="shared" si="5"/>
        <v>0.15385392400108588</v>
      </c>
      <c r="N31" s="40">
        <f t="shared" si="6"/>
        <v>0.010392490188837368</v>
      </c>
      <c r="O31" s="39">
        <f t="shared" si="7"/>
        <v>0.027912305313144023</v>
      </c>
      <c r="P31" s="39">
        <f t="shared" si="8"/>
        <v>0.0005605676670192912</v>
      </c>
      <c r="Q31" s="39">
        <f t="shared" si="9"/>
        <v>0</v>
      </c>
      <c r="R31" s="41">
        <f t="shared" si="10"/>
        <v>0.01726174419305078</v>
      </c>
    </row>
    <row r="32" spans="1:86" s="72" customFormat="1" ht="15.75" customHeight="1">
      <c r="A32" s="90" t="s">
        <v>67</v>
      </c>
      <c r="B32" s="91">
        <v>124176</v>
      </c>
      <c r="C32" s="91">
        <v>93075</v>
      </c>
      <c r="D32" s="91">
        <v>0</v>
      </c>
      <c r="E32" s="92">
        <f t="shared" si="0"/>
        <v>217251</v>
      </c>
      <c r="F32" s="91">
        <v>246466</v>
      </c>
      <c r="G32" s="91">
        <v>493335</v>
      </c>
      <c r="H32" s="91">
        <v>0</v>
      </c>
      <c r="I32" s="92">
        <f t="shared" si="1"/>
        <v>739801</v>
      </c>
      <c r="J32" s="93">
        <f t="shared" si="2"/>
        <v>2.405282369241108</v>
      </c>
      <c r="K32" s="94">
        <f t="shared" si="3"/>
        <v>0.12600742978674956</v>
      </c>
      <c r="L32" s="94">
        <f t="shared" si="4"/>
        <v>0.5913503691373242</v>
      </c>
      <c r="M32" s="94">
        <f t="shared" si="5"/>
        <v>0</v>
      </c>
      <c r="N32" s="95">
        <f t="shared" si="6"/>
        <v>0.1825057704320675</v>
      </c>
      <c r="O32" s="94">
        <f t="shared" si="7"/>
        <v>0.26413646539870816</v>
      </c>
      <c r="P32" s="94">
        <f t="shared" si="8"/>
        <v>0.8669205329434547</v>
      </c>
      <c r="Q32" s="94">
        <f t="shared" si="9"/>
        <v>0</v>
      </c>
      <c r="R32" s="96">
        <f t="shared" si="10"/>
        <v>0.4843823249796374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</row>
    <row r="33" spans="1:18" ht="15.75" customHeight="1" thickBot="1">
      <c r="A33" s="34" t="s">
        <v>21</v>
      </c>
      <c r="B33" s="35">
        <v>80741</v>
      </c>
      <c r="C33" s="35">
        <v>0</v>
      </c>
      <c r="D33" s="35">
        <v>0</v>
      </c>
      <c r="E33" s="36">
        <f t="shared" si="0"/>
        <v>80741</v>
      </c>
      <c r="F33" s="35">
        <v>85662</v>
      </c>
      <c r="G33" s="35">
        <v>0</v>
      </c>
      <c r="H33" s="35">
        <v>0</v>
      </c>
      <c r="I33" s="36">
        <f t="shared" si="1"/>
        <v>85662</v>
      </c>
      <c r="J33" s="38">
        <f t="shared" si="2"/>
        <v>0.06094796943312567</v>
      </c>
      <c r="K33" s="39">
        <f t="shared" si="3"/>
        <v>0.08193182167578232</v>
      </c>
      <c r="L33" s="39">
        <f t="shared" si="4"/>
        <v>0</v>
      </c>
      <c r="M33" s="39">
        <f t="shared" si="5"/>
        <v>0</v>
      </c>
      <c r="N33" s="40">
        <f t="shared" si="6"/>
        <v>0.06782798887211365</v>
      </c>
      <c r="O33" s="39">
        <f t="shared" si="7"/>
        <v>0.09180356681645395</v>
      </c>
      <c r="P33" s="39">
        <f t="shared" si="8"/>
        <v>0</v>
      </c>
      <c r="Q33" s="39">
        <f t="shared" si="9"/>
        <v>0</v>
      </c>
      <c r="R33" s="41">
        <f t="shared" si="10"/>
        <v>0.05608691894496722</v>
      </c>
    </row>
    <row r="34" spans="1:18" ht="15.75" customHeight="1" thickBot="1">
      <c r="A34" s="77" t="s">
        <v>22</v>
      </c>
      <c r="B34" s="78">
        <f aca="true" t="shared" si="11" ref="B34:I34">SUM(B11:B33)</f>
        <v>985465.7</v>
      </c>
      <c r="C34" s="78">
        <f t="shared" si="11"/>
        <v>157394</v>
      </c>
      <c r="D34" s="78">
        <f t="shared" si="11"/>
        <v>47519.1</v>
      </c>
      <c r="E34" s="79">
        <f t="shared" si="11"/>
        <v>1190378.8</v>
      </c>
      <c r="F34" s="78">
        <f t="shared" si="11"/>
        <v>933101</v>
      </c>
      <c r="G34" s="78">
        <f t="shared" si="11"/>
        <v>569066</v>
      </c>
      <c r="H34" s="78">
        <f t="shared" si="11"/>
        <v>25141</v>
      </c>
      <c r="I34" s="78">
        <f t="shared" si="11"/>
        <v>1527308</v>
      </c>
      <c r="J34" s="80">
        <f t="shared" si="2"/>
        <v>0.28304368323763823</v>
      </c>
      <c r="K34" s="81">
        <f aca="true" t="shared" si="12" ref="K34:R34">SUM(K11:K33)</f>
        <v>1</v>
      </c>
      <c r="L34" s="81">
        <f t="shared" si="12"/>
        <v>1</v>
      </c>
      <c r="M34" s="81">
        <f t="shared" si="12"/>
        <v>1</v>
      </c>
      <c r="N34" s="82">
        <f t="shared" si="12"/>
        <v>1</v>
      </c>
      <c r="O34" s="81">
        <f t="shared" si="12"/>
        <v>1</v>
      </c>
      <c r="P34" s="81">
        <f t="shared" si="12"/>
        <v>1</v>
      </c>
      <c r="Q34" s="81">
        <f t="shared" si="12"/>
        <v>1</v>
      </c>
      <c r="R34" s="83">
        <f t="shared" si="12"/>
        <v>1</v>
      </c>
    </row>
    <row r="35" ht="15.75" customHeight="1">
      <c r="A35" s="1" t="s">
        <v>65</v>
      </c>
    </row>
    <row r="36" ht="15.75" customHeight="1">
      <c r="A36" s="1" t="s">
        <v>74</v>
      </c>
    </row>
    <row r="37" spans="1:18" ht="15.75" customHeight="1">
      <c r="A37" s="30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3:18" ht="15.75" customHeight="1">
      <c r="M38" s="1"/>
      <c r="N38" s="1"/>
      <c r="O38" s="1"/>
      <c r="P38" s="1"/>
      <c r="Q38" s="1"/>
      <c r="R38" s="1"/>
    </row>
    <row r="39" spans="1:18" ht="15.75" customHeight="1">
      <c r="A39" s="1" t="str">
        <f>+A2</f>
        <v>Date:</v>
      </c>
      <c r="B39" s="3">
        <f>+B2</f>
        <v>37375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75" customHeight="1">
      <c r="A41" s="1"/>
      <c r="B41" s="1"/>
      <c r="C41" s="4" t="s">
        <v>78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75" customHeight="1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.75" customHeigh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6"/>
    </row>
    <row r="44" spans="1:18" ht="15.75" customHeight="1">
      <c r="A44" s="47"/>
      <c r="B44" s="48"/>
      <c r="C44" s="48"/>
      <c r="D44" s="48" t="s">
        <v>40</v>
      </c>
      <c r="E44" s="48"/>
      <c r="F44" s="48"/>
      <c r="G44" s="48"/>
      <c r="H44" s="48"/>
      <c r="I44" s="48"/>
      <c r="J44" s="49"/>
      <c r="K44" s="48"/>
      <c r="L44" s="48"/>
      <c r="M44" s="48" t="s">
        <v>45</v>
      </c>
      <c r="N44" s="48"/>
      <c r="O44" s="48"/>
      <c r="P44" s="48"/>
      <c r="Q44" s="48"/>
      <c r="R44" s="50"/>
    </row>
    <row r="45" spans="1:18" ht="15.75" customHeight="1">
      <c r="A45" s="51"/>
      <c r="B45" s="48"/>
      <c r="C45" s="48">
        <f>+C8</f>
        <v>2000</v>
      </c>
      <c r="D45" s="48"/>
      <c r="E45" s="52"/>
      <c r="F45" s="48"/>
      <c r="G45" s="48">
        <f>+G8</f>
        <v>2001</v>
      </c>
      <c r="H45" s="48"/>
      <c r="I45" s="52"/>
      <c r="J45" s="53" t="s">
        <v>7</v>
      </c>
      <c r="K45" s="48"/>
      <c r="L45" s="48">
        <f>+C45</f>
        <v>2000</v>
      </c>
      <c r="M45" s="48"/>
      <c r="N45" s="52"/>
      <c r="O45" s="48"/>
      <c r="P45" s="48">
        <f>+G45</f>
        <v>2001</v>
      </c>
      <c r="Q45" s="48"/>
      <c r="R45" s="50"/>
    </row>
    <row r="46" spans="1:18" ht="15.75" customHeight="1" thickBot="1">
      <c r="A46" s="54" t="s">
        <v>2</v>
      </c>
      <c r="B46" s="57" t="s">
        <v>3</v>
      </c>
      <c r="C46" s="57" t="s">
        <v>4</v>
      </c>
      <c r="D46" s="57" t="s">
        <v>5</v>
      </c>
      <c r="E46" s="58" t="s">
        <v>6</v>
      </c>
      <c r="F46" s="57" t="s">
        <v>3</v>
      </c>
      <c r="G46" s="57" t="s">
        <v>4</v>
      </c>
      <c r="H46" s="57" t="s">
        <v>5</v>
      </c>
      <c r="I46" s="58" t="s">
        <v>6</v>
      </c>
      <c r="J46" s="59" t="s">
        <v>8</v>
      </c>
      <c r="K46" s="57" t="s">
        <v>3</v>
      </c>
      <c r="L46" s="57" t="s">
        <v>4</v>
      </c>
      <c r="M46" s="57" t="s">
        <v>5</v>
      </c>
      <c r="N46" s="58" t="s">
        <v>6</v>
      </c>
      <c r="O46" s="57" t="s">
        <v>3</v>
      </c>
      <c r="P46" s="57" t="s">
        <v>4</v>
      </c>
      <c r="Q46" s="57" t="s">
        <v>5</v>
      </c>
      <c r="R46" s="60" t="s">
        <v>6</v>
      </c>
    </row>
    <row r="47" spans="1:18" ht="15.75" customHeight="1" thickTop="1">
      <c r="A47" s="8"/>
      <c r="B47" s="5"/>
      <c r="C47" s="5"/>
      <c r="D47" s="5"/>
      <c r="E47" s="9"/>
      <c r="F47" s="5"/>
      <c r="G47" s="5"/>
      <c r="H47" s="5"/>
      <c r="I47" s="9"/>
      <c r="J47" s="7"/>
      <c r="K47" s="5"/>
      <c r="L47" s="5"/>
      <c r="M47" s="5"/>
      <c r="N47" s="9"/>
      <c r="O47" s="5"/>
      <c r="P47" s="5"/>
      <c r="Q47" s="5"/>
      <c r="R47" s="6"/>
    </row>
    <row r="48" spans="1:18" ht="15.75" customHeight="1">
      <c r="A48" s="34" t="s">
        <v>10</v>
      </c>
      <c r="B48" s="35">
        <v>150046</v>
      </c>
      <c r="C48" s="35">
        <v>14916</v>
      </c>
      <c r="D48" s="35">
        <v>819</v>
      </c>
      <c r="E48" s="36">
        <f aca="true" t="shared" si="13" ref="E48:E56">+B48+C48+D48</f>
        <v>165781</v>
      </c>
      <c r="F48" s="35">
        <v>177572</v>
      </c>
      <c r="G48" s="35">
        <v>16400</v>
      </c>
      <c r="H48" s="35">
        <v>667</v>
      </c>
      <c r="I48" s="36">
        <f>+F48+G48+H48</f>
        <v>194639</v>
      </c>
      <c r="J48" s="38">
        <f aca="true" t="shared" si="14" ref="J48:J71">IF(+E48&gt;0,(+I48-E48)/E48,0)</f>
        <v>0.17407302404980063</v>
      </c>
      <c r="K48" s="39">
        <f aca="true" t="shared" si="15" ref="K48:K70">+B48/$B$71</f>
        <v>0.04582736029566811</v>
      </c>
      <c r="L48" s="39">
        <f aca="true" t="shared" si="16" ref="L48:L70">+C48/$C$71</f>
        <v>0.04094011862643651</v>
      </c>
      <c r="M48" s="39">
        <f aca="true" t="shared" si="17" ref="M48:M70">+D48/$D$71</f>
        <v>0.0032315098647855782</v>
      </c>
      <c r="N48" s="40">
        <f aca="true" t="shared" si="18" ref="N48:N70">+E48/$E$71</f>
        <v>0.04259601871716047</v>
      </c>
      <c r="O48" s="39">
        <f aca="true" t="shared" si="19" ref="O48:O70">+F48/$F$71</f>
        <v>0.05299598378711833</v>
      </c>
      <c r="P48" s="39">
        <f aca="true" t="shared" si="20" ref="P48:P70">+G48/$G$71</f>
        <v>0.0189716443325683</v>
      </c>
      <c r="Q48" s="39">
        <f aca="true" t="shared" si="21" ref="Q48:Q70">+H48/$H$71</f>
        <v>0.002714018904545473</v>
      </c>
      <c r="R48" s="41">
        <f aca="true" t="shared" si="22" ref="R48:R70">+I48/$I$71</f>
        <v>0.04363244186458361</v>
      </c>
    </row>
    <row r="49" spans="1:86" s="72" customFormat="1" ht="15.75" customHeight="1">
      <c r="A49" s="90" t="s">
        <v>54</v>
      </c>
      <c r="B49" s="91">
        <v>64826.6</v>
      </c>
      <c r="C49" s="91">
        <v>0</v>
      </c>
      <c r="D49" s="91">
        <v>10001.9</v>
      </c>
      <c r="E49" s="92">
        <f t="shared" si="13"/>
        <v>74828.5</v>
      </c>
      <c r="F49" s="91">
        <v>106904</v>
      </c>
      <c r="G49" s="91">
        <v>0</v>
      </c>
      <c r="H49" s="91">
        <v>8484</v>
      </c>
      <c r="I49" s="92">
        <f>+F49+G49+H49</f>
        <v>115388</v>
      </c>
      <c r="J49" s="93">
        <f t="shared" si="14"/>
        <v>0.5420327816273212</v>
      </c>
      <c r="K49" s="94">
        <f t="shared" si="15"/>
        <v>0.019799474527432644</v>
      </c>
      <c r="L49" s="94">
        <f t="shared" si="16"/>
        <v>0</v>
      </c>
      <c r="M49" s="94">
        <f t="shared" si="17"/>
        <v>0.03946427169303892</v>
      </c>
      <c r="N49" s="95">
        <f t="shared" si="18"/>
        <v>0.019226546990168004</v>
      </c>
      <c r="O49" s="94">
        <f t="shared" si="19"/>
        <v>0.031905270260953855</v>
      </c>
      <c r="P49" s="94">
        <f t="shared" si="20"/>
        <v>0</v>
      </c>
      <c r="Q49" s="94">
        <f t="shared" si="21"/>
        <v>0.03452134390729204</v>
      </c>
      <c r="R49" s="96">
        <f t="shared" si="22"/>
        <v>0.025866656743358595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</row>
    <row r="50" spans="1:18" ht="15.75" customHeight="1">
      <c r="A50" s="34" t="s">
        <v>11</v>
      </c>
      <c r="B50" s="35">
        <v>155567</v>
      </c>
      <c r="C50" s="35">
        <v>0</v>
      </c>
      <c r="D50" s="35">
        <v>336</v>
      </c>
      <c r="E50" s="36">
        <f t="shared" si="13"/>
        <v>155903</v>
      </c>
      <c r="F50" s="35">
        <v>164159</v>
      </c>
      <c r="G50" s="35">
        <v>0</v>
      </c>
      <c r="H50" s="35">
        <v>286</v>
      </c>
      <c r="I50" s="36">
        <f>+F50+G50+H50</f>
        <v>164445</v>
      </c>
      <c r="J50" s="38">
        <f t="shared" si="14"/>
        <v>0.05479047869508605</v>
      </c>
      <c r="K50" s="39">
        <f t="shared" si="15"/>
        <v>0.04751359555813685</v>
      </c>
      <c r="L50" s="39">
        <f t="shared" si="16"/>
        <v>0</v>
      </c>
      <c r="M50" s="39">
        <f t="shared" si="17"/>
        <v>0.001325747636835109</v>
      </c>
      <c r="N50" s="40">
        <f t="shared" si="18"/>
        <v>0.040057950585781654</v>
      </c>
      <c r="O50" s="39">
        <f t="shared" si="19"/>
        <v>0.04899290261138895</v>
      </c>
      <c r="P50" s="39">
        <f t="shared" si="20"/>
        <v>0</v>
      </c>
      <c r="Q50" s="39">
        <f t="shared" si="21"/>
        <v>0.001163732243928044</v>
      </c>
      <c r="R50" s="41">
        <f t="shared" si="22"/>
        <v>0.036863819185371134</v>
      </c>
    </row>
    <row r="51" spans="1:86" s="72" customFormat="1" ht="15.75" customHeight="1">
      <c r="A51" s="90" t="s">
        <v>12</v>
      </c>
      <c r="B51" s="91">
        <v>107920</v>
      </c>
      <c r="C51" s="91">
        <v>0</v>
      </c>
      <c r="D51" s="91">
        <v>0</v>
      </c>
      <c r="E51" s="92">
        <f t="shared" si="13"/>
        <v>107920</v>
      </c>
      <c r="F51" s="91">
        <v>132938</v>
      </c>
      <c r="G51" s="91">
        <v>952</v>
      </c>
      <c r="H51" s="91">
        <v>0</v>
      </c>
      <c r="I51" s="92">
        <f aca="true" t="shared" si="23" ref="I51:I70">+F51+G51+H51</f>
        <v>133890</v>
      </c>
      <c r="J51" s="93">
        <f t="shared" si="14"/>
        <v>0.2406412157153447</v>
      </c>
      <c r="K51" s="94">
        <f t="shared" si="15"/>
        <v>0.03296115006803582</v>
      </c>
      <c r="L51" s="94">
        <f t="shared" si="16"/>
        <v>0</v>
      </c>
      <c r="M51" s="94">
        <f t="shared" si="17"/>
        <v>0</v>
      </c>
      <c r="N51" s="95">
        <f t="shared" si="18"/>
        <v>0.027729126618586918</v>
      </c>
      <c r="O51" s="94">
        <f t="shared" si="19"/>
        <v>0.039675061905547815</v>
      </c>
      <c r="P51" s="94">
        <f t="shared" si="20"/>
        <v>0.0011012808173539645</v>
      </c>
      <c r="Q51" s="94">
        <f t="shared" si="21"/>
        <v>0</v>
      </c>
      <c r="R51" s="96">
        <f t="shared" si="22"/>
        <v>0.030014270733250272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</row>
    <row r="52" spans="1:18" ht="15.75" customHeight="1">
      <c r="A52" s="34" t="s">
        <v>66</v>
      </c>
      <c r="B52" s="71">
        <v>32330</v>
      </c>
      <c r="C52" s="71">
        <v>5502</v>
      </c>
      <c r="D52" s="71">
        <v>0</v>
      </c>
      <c r="E52" s="36">
        <f t="shared" si="13"/>
        <v>37832</v>
      </c>
      <c r="F52" s="35">
        <v>45594</v>
      </c>
      <c r="G52" s="35">
        <v>4975</v>
      </c>
      <c r="H52" s="35">
        <v>0</v>
      </c>
      <c r="I52" s="36">
        <f t="shared" si="23"/>
        <v>50569</v>
      </c>
      <c r="J52" s="38">
        <f t="shared" si="14"/>
        <v>0.33667265806724467</v>
      </c>
      <c r="K52" s="39">
        <f t="shared" si="15"/>
        <v>0.00987429560507411</v>
      </c>
      <c r="L52" s="39">
        <f t="shared" si="16"/>
        <v>0.01510140337105482</v>
      </c>
      <c r="M52" s="39">
        <f t="shared" si="17"/>
        <v>0</v>
      </c>
      <c r="N52" s="40">
        <f t="shared" si="18"/>
        <v>0.009720610806471278</v>
      </c>
      <c r="O52" s="39">
        <f t="shared" si="19"/>
        <v>0.013607431829285435</v>
      </c>
      <c r="P52" s="39">
        <f t="shared" si="20"/>
        <v>0.005755117716739469</v>
      </c>
      <c r="Q52" s="39">
        <f t="shared" si="21"/>
        <v>0</v>
      </c>
      <c r="R52" s="41">
        <f t="shared" si="22"/>
        <v>0.011336109169540167</v>
      </c>
    </row>
    <row r="53" spans="1:86" s="72" customFormat="1" ht="15.75" customHeight="1">
      <c r="A53" s="90" t="s">
        <v>61</v>
      </c>
      <c r="B53" s="91">
        <v>0</v>
      </c>
      <c r="C53" s="91">
        <v>0</v>
      </c>
      <c r="D53" s="91">
        <v>65161</v>
      </c>
      <c r="E53" s="92">
        <f t="shared" si="13"/>
        <v>65161</v>
      </c>
      <c r="F53" s="91">
        <v>0</v>
      </c>
      <c r="G53" s="91">
        <v>0</v>
      </c>
      <c r="H53" s="91">
        <v>64348</v>
      </c>
      <c r="I53" s="92">
        <f t="shared" si="23"/>
        <v>64348</v>
      </c>
      <c r="J53" s="93">
        <f t="shared" si="14"/>
        <v>-0.012476788262918002</v>
      </c>
      <c r="K53" s="94">
        <f t="shared" si="15"/>
        <v>0</v>
      </c>
      <c r="L53" s="94">
        <f t="shared" si="16"/>
        <v>0</v>
      </c>
      <c r="M53" s="94">
        <f t="shared" si="17"/>
        <v>0.2571042909637278</v>
      </c>
      <c r="N53" s="95">
        <f t="shared" si="18"/>
        <v>0.016742565044419403</v>
      </c>
      <c r="O53" s="94">
        <f t="shared" si="19"/>
        <v>0</v>
      </c>
      <c r="P53" s="94">
        <f t="shared" si="20"/>
        <v>0</v>
      </c>
      <c r="Q53" s="94">
        <f t="shared" si="21"/>
        <v>0.2618316168960901</v>
      </c>
      <c r="R53" s="96">
        <f t="shared" si="22"/>
        <v>0.014424962978140178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</row>
    <row r="54" spans="1:18" ht="15.75" customHeight="1">
      <c r="A54" s="34" t="s">
        <v>31</v>
      </c>
      <c r="B54" s="35">
        <v>329448</v>
      </c>
      <c r="C54" s="35">
        <v>27889</v>
      </c>
      <c r="D54" s="35">
        <v>2562</v>
      </c>
      <c r="E54" s="36">
        <f t="shared" si="13"/>
        <v>359899</v>
      </c>
      <c r="F54" s="35">
        <v>324283</v>
      </c>
      <c r="G54" s="35">
        <v>55693</v>
      </c>
      <c r="H54" s="35">
        <v>3133</v>
      </c>
      <c r="I54" s="36">
        <f t="shared" si="23"/>
        <v>383109</v>
      </c>
      <c r="J54" s="38">
        <f t="shared" si="14"/>
        <v>0.06449031533846995</v>
      </c>
      <c r="K54" s="39">
        <f t="shared" si="15"/>
        <v>0.10062069095268963</v>
      </c>
      <c r="L54" s="39">
        <f t="shared" si="16"/>
        <v>0.07654726256185894</v>
      </c>
      <c r="M54" s="39">
        <f t="shared" si="17"/>
        <v>0.010108825730867707</v>
      </c>
      <c r="N54" s="40">
        <f t="shared" si="18"/>
        <v>0.09247298870369546</v>
      </c>
      <c r="O54" s="39">
        <f t="shared" si="19"/>
        <v>0.09678156809878863</v>
      </c>
      <c r="P54" s="39">
        <f t="shared" si="20"/>
        <v>0.06442608462278819</v>
      </c>
      <c r="Q54" s="39">
        <f t="shared" si="21"/>
        <v>0.012748157763029936</v>
      </c>
      <c r="R54" s="41">
        <f t="shared" si="22"/>
        <v>0.08588197211400984</v>
      </c>
    </row>
    <row r="55" spans="1:86" s="72" customFormat="1" ht="15.75" customHeight="1">
      <c r="A55" s="90" t="s">
        <v>13</v>
      </c>
      <c r="B55" s="91">
        <v>0</v>
      </c>
      <c r="C55" s="91">
        <v>0</v>
      </c>
      <c r="D55" s="91">
        <v>44053</v>
      </c>
      <c r="E55" s="92">
        <f t="shared" si="13"/>
        <v>44053</v>
      </c>
      <c r="F55" s="91">
        <v>0</v>
      </c>
      <c r="G55" s="91">
        <v>0</v>
      </c>
      <c r="H55" s="91">
        <v>43609</v>
      </c>
      <c r="I55" s="92">
        <f t="shared" si="23"/>
        <v>43609</v>
      </c>
      <c r="J55" s="93">
        <f t="shared" si="14"/>
        <v>-0.010078768755816857</v>
      </c>
      <c r="K55" s="94">
        <f t="shared" si="15"/>
        <v>0</v>
      </c>
      <c r="L55" s="94">
        <f t="shared" si="16"/>
        <v>0</v>
      </c>
      <c r="M55" s="94">
        <f t="shared" si="17"/>
        <v>0.17381893049255076</v>
      </c>
      <c r="N55" s="95">
        <f t="shared" si="18"/>
        <v>0.011319043874431148</v>
      </c>
      <c r="O55" s="94">
        <f t="shared" si="19"/>
        <v>0</v>
      </c>
      <c r="P55" s="94">
        <f t="shared" si="20"/>
        <v>0</v>
      </c>
      <c r="Q55" s="94">
        <f t="shared" si="21"/>
        <v>0.17744475323586736</v>
      </c>
      <c r="R55" s="96">
        <f t="shared" si="22"/>
        <v>0.009775878201555838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</row>
    <row r="56" spans="1:18" ht="15.75" customHeight="1">
      <c r="A56" s="34" t="s">
        <v>62</v>
      </c>
      <c r="B56" s="35">
        <v>102402</v>
      </c>
      <c r="C56" s="35">
        <v>8788</v>
      </c>
      <c r="D56" s="35">
        <v>0</v>
      </c>
      <c r="E56" s="36">
        <f t="shared" si="13"/>
        <v>111190</v>
      </c>
      <c r="F56" s="35">
        <v>105555</v>
      </c>
      <c r="G56" s="35">
        <v>12057</v>
      </c>
      <c r="H56" s="35">
        <v>0</v>
      </c>
      <c r="I56" s="36">
        <f>+F56+G56+H56</f>
        <v>117612</v>
      </c>
      <c r="J56" s="38">
        <f>IF(+E56&gt;0,(+I56-E56)/E56,0)</f>
        <v>0.057756992535299936</v>
      </c>
      <c r="K56" s="39">
        <f t="shared" si="15"/>
        <v>0.03127583107178469</v>
      </c>
      <c r="L56" s="39">
        <f t="shared" si="16"/>
        <v>0.024120525776959244</v>
      </c>
      <c r="M56" s="39">
        <f t="shared" si="17"/>
        <v>0</v>
      </c>
      <c r="N56" s="40">
        <f t="shared" si="18"/>
        <v>0.028569325321726086</v>
      </c>
      <c r="O56" s="39">
        <f t="shared" si="19"/>
        <v>0.03150266409484195</v>
      </c>
      <c r="P56" s="39">
        <f t="shared" si="20"/>
        <v>0.013947629007181462</v>
      </c>
      <c r="Q56" s="39">
        <f t="shared" si="21"/>
        <v>0</v>
      </c>
      <c r="R56" s="41">
        <f t="shared" si="22"/>
        <v>0.026365213305542094</v>
      </c>
    </row>
    <row r="57" spans="1:86" s="72" customFormat="1" ht="15.75" customHeight="1">
      <c r="A57" s="90" t="s">
        <v>14</v>
      </c>
      <c r="B57" s="91">
        <v>85783</v>
      </c>
      <c r="C57" s="91">
        <v>18411</v>
      </c>
      <c r="D57" s="91">
        <v>1847</v>
      </c>
      <c r="E57" s="92">
        <f aca="true" t="shared" si="24" ref="E57:E66">+B57+C57+D57</f>
        <v>106041</v>
      </c>
      <c r="F57" s="91">
        <v>101023</v>
      </c>
      <c r="G57" s="91">
        <v>21973</v>
      </c>
      <c r="H57" s="91">
        <v>1750</v>
      </c>
      <c r="I57" s="92">
        <f t="shared" si="23"/>
        <v>124746</v>
      </c>
      <c r="J57" s="93">
        <f t="shared" si="14"/>
        <v>0.1763940362689903</v>
      </c>
      <c r="K57" s="94">
        <f t="shared" si="15"/>
        <v>0.0262000216483165</v>
      </c>
      <c r="L57" s="94">
        <f t="shared" si="16"/>
        <v>0.05053288576235738</v>
      </c>
      <c r="M57" s="94">
        <f t="shared" si="17"/>
        <v>0.007287666325102519</v>
      </c>
      <c r="N57" s="95">
        <f t="shared" si="18"/>
        <v>0.027246333541156183</v>
      </c>
      <c r="O57" s="94">
        <f t="shared" si="19"/>
        <v>0.030150098383337775</v>
      </c>
      <c r="P57" s="94">
        <f t="shared" si="20"/>
        <v>0.025418532982897757</v>
      </c>
      <c r="Q57" s="94">
        <f t="shared" si="21"/>
        <v>0.007120739254804465</v>
      </c>
      <c r="R57" s="96">
        <f t="shared" si="22"/>
        <v>0.02796445004772603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</row>
    <row r="58" spans="1:18" ht="15.75" customHeight="1">
      <c r="A58" s="34" t="s">
        <v>15</v>
      </c>
      <c r="B58" s="71">
        <v>0</v>
      </c>
      <c r="C58" s="71">
        <v>8900</v>
      </c>
      <c r="D58" s="71">
        <v>2784</v>
      </c>
      <c r="E58" s="36">
        <f t="shared" si="24"/>
        <v>11684</v>
      </c>
      <c r="F58" s="35">
        <v>0</v>
      </c>
      <c r="G58" s="35">
        <v>8174</v>
      </c>
      <c r="H58" s="35">
        <v>3256</v>
      </c>
      <c r="I58" s="36">
        <f t="shared" si="23"/>
        <v>11430</v>
      </c>
      <c r="J58" s="38">
        <f t="shared" si="14"/>
        <v>-0.021739130434782608</v>
      </c>
      <c r="K58" s="39">
        <f t="shared" si="15"/>
        <v>0</v>
      </c>
      <c r="L58" s="39">
        <f t="shared" si="16"/>
        <v>0.024427933479169012</v>
      </c>
      <c r="M58" s="39">
        <f t="shared" si="17"/>
        <v>0.010984766133776616</v>
      </c>
      <c r="N58" s="40">
        <f t="shared" si="18"/>
        <v>0.003002104479351089</v>
      </c>
      <c r="O58" s="39">
        <f t="shared" si="19"/>
        <v>0</v>
      </c>
      <c r="P58" s="39">
        <f t="shared" si="20"/>
        <v>0.009455745169171541</v>
      </c>
      <c r="Q58" s="39">
        <f t="shared" si="21"/>
        <v>0.013248644007796193</v>
      </c>
      <c r="R58" s="41">
        <f t="shared" si="22"/>
        <v>0.0025622758569053</v>
      </c>
    </row>
    <row r="59" spans="1:86" s="72" customFormat="1" ht="15.75" customHeight="1">
      <c r="A59" s="90" t="s">
        <v>70</v>
      </c>
      <c r="B59" s="91">
        <v>18966</v>
      </c>
      <c r="C59" s="91">
        <v>3971</v>
      </c>
      <c r="D59" s="91">
        <v>0</v>
      </c>
      <c r="E59" s="92">
        <f>+B59+C59+D59</f>
        <v>22937</v>
      </c>
      <c r="F59" s="91">
        <v>20073</v>
      </c>
      <c r="G59" s="91">
        <v>15693</v>
      </c>
      <c r="H59" s="91">
        <v>0</v>
      </c>
      <c r="I59" s="92">
        <f>+F59+G59+H59</f>
        <v>35766</v>
      </c>
      <c r="J59" s="93">
        <f>IF(+E59&gt;0,(+I59-E59)/E59,0)</f>
        <v>0.5593146444609147</v>
      </c>
      <c r="K59" s="94">
        <f t="shared" si="15"/>
        <v>0.005792635027709112</v>
      </c>
      <c r="L59" s="94">
        <f t="shared" si="16"/>
        <v>0.010899249870312376</v>
      </c>
      <c r="M59" s="94">
        <f t="shared" si="17"/>
        <v>0</v>
      </c>
      <c r="N59" s="95">
        <f t="shared" si="18"/>
        <v>0.005893467172447444</v>
      </c>
      <c r="O59" s="94">
        <f t="shared" si="19"/>
        <v>0.005990743938001635</v>
      </c>
      <c r="P59" s="94">
        <f t="shared" si="20"/>
        <v>0.018153781372621604</v>
      </c>
      <c r="Q59" s="94">
        <f t="shared" si="21"/>
        <v>0</v>
      </c>
      <c r="R59" s="96">
        <f t="shared" si="22"/>
        <v>0.0080177041380643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</row>
    <row r="60" spans="1:18" ht="15.75" customHeight="1">
      <c r="A60" s="34" t="s">
        <v>58</v>
      </c>
      <c r="B60" s="35">
        <v>268534</v>
      </c>
      <c r="C60" s="35">
        <v>19864</v>
      </c>
      <c r="D60" s="35">
        <v>1039</v>
      </c>
      <c r="E60" s="36">
        <f t="shared" si="24"/>
        <v>289437</v>
      </c>
      <c r="F60" s="35">
        <v>327083</v>
      </c>
      <c r="G60" s="35">
        <v>18884</v>
      </c>
      <c r="H60" s="35">
        <v>867</v>
      </c>
      <c r="I60" s="36">
        <f t="shared" si="23"/>
        <v>346834</v>
      </c>
      <c r="J60" s="38">
        <f t="shared" si="14"/>
        <v>0.1983056761920556</v>
      </c>
      <c r="K60" s="39">
        <f t="shared" si="15"/>
        <v>0.08201621082625955</v>
      </c>
      <c r="L60" s="39">
        <f t="shared" si="16"/>
        <v>0.05452095175620374</v>
      </c>
      <c r="M60" s="39">
        <f t="shared" si="17"/>
        <v>0.004099558912713328</v>
      </c>
      <c r="N60" s="40">
        <f t="shared" si="18"/>
        <v>0.07436837677079264</v>
      </c>
      <c r="O60" s="39">
        <f t="shared" si="19"/>
        <v>0.09761722211295715</v>
      </c>
      <c r="P60" s="39">
        <f t="shared" si="20"/>
        <v>0.02184515436440364</v>
      </c>
      <c r="Q60" s="39">
        <f t="shared" si="21"/>
        <v>0.003527817676523126</v>
      </c>
      <c r="R60" s="41">
        <f t="shared" si="22"/>
        <v>0.07775016487785588</v>
      </c>
    </row>
    <row r="61" spans="1:86" s="72" customFormat="1" ht="15.75" customHeight="1">
      <c r="A61" s="90" t="s">
        <v>33</v>
      </c>
      <c r="B61" s="91">
        <v>400975</v>
      </c>
      <c r="C61" s="91">
        <v>41824</v>
      </c>
      <c r="D61" s="91">
        <v>0</v>
      </c>
      <c r="E61" s="92">
        <f t="shared" si="24"/>
        <v>442799</v>
      </c>
      <c r="F61" s="114" t="s">
        <v>71</v>
      </c>
      <c r="G61" s="115"/>
      <c r="H61" s="115"/>
      <c r="I61" s="116"/>
      <c r="J61" s="93">
        <v>0</v>
      </c>
      <c r="K61" s="94">
        <f t="shared" si="15"/>
        <v>0.12246661553493943</v>
      </c>
      <c r="L61" s="94">
        <f t="shared" si="16"/>
        <v>0.11479481908233312</v>
      </c>
      <c r="M61" s="94">
        <f t="shared" si="17"/>
        <v>0</v>
      </c>
      <c r="N61" s="95">
        <f t="shared" si="18"/>
        <v>0.11377343900652027</v>
      </c>
      <c r="O61" s="94">
        <v>0</v>
      </c>
      <c r="P61" s="94">
        <f t="shared" si="20"/>
        <v>0</v>
      </c>
      <c r="Q61" s="94">
        <f t="shared" si="21"/>
        <v>0</v>
      </c>
      <c r="R61" s="96">
        <f t="shared" si="22"/>
        <v>0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</row>
    <row r="62" spans="1:18" ht="15.75" customHeight="1">
      <c r="A62" s="34" t="s">
        <v>16</v>
      </c>
      <c r="B62" s="35">
        <v>0</v>
      </c>
      <c r="C62" s="35">
        <v>6501</v>
      </c>
      <c r="D62" s="35">
        <v>97122</v>
      </c>
      <c r="E62" s="36">
        <f t="shared" si="24"/>
        <v>103623</v>
      </c>
      <c r="F62" s="35">
        <v>0</v>
      </c>
      <c r="G62" s="35">
        <v>5990</v>
      </c>
      <c r="H62" s="35">
        <v>93978</v>
      </c>
      <c r="I62" s="36">
        <f t="shared" si="23"/>
        <v>99968</v>
      </c>
      <c r="J62" s="38">
        <f t="shared" si="14"/>
        <v>-0.03527209210310452</v>
      </c>
      <c r="K62" s="39">
        <f t="shared" si="15"/>
        <v>0</v>
      </c>
      <c r="L62" s="39">
        <f t="shared" si="16"/>
        <v>0.01784337028630087</v>
      </c>
      <c r="M62" s="39">
        <f t="shared" si="17"/>
        <v>0.38321208924017697</v>
      </c>
      <c r="N62" s="40">
        <f t="shared" si="18"/>
        <v>0.026625048995532172</v>
      </c>
      <c r="O62" s="39">
        <f t="shared" si="19"/>
        <v>0</v>
      </c>
      <c r="P62" s="39">
        <f t="shared" si="20"/>
        <v>0.0069292774117124456</v>
      </c>
      <c r="Q62" s="39">
        <f t="shared" si="21"/>
        <v>0.3823959049645794</v>
      </c>
      <c r="R62" s="41">
        <f t="shared" si="22"/>
        <v>0.022409938133255383</v>
      </c>
    </row>
    <row r="63" spans="1:86" s="72" customFormat="1" ht="15.75" customHeight="1">
      <c r="A63" s="90" t="s">
        <v>17</v>
      </c>
      <c r="B63" s="91">
        <v>270310</v>
      </c>
      <c r="C63" s="91">
        <v>14464</v>
      </c>
      <c r="D63" s="91">
        <v>20040</v>
      </c>
      <c r="E63" s="92">
        <f t="shared" si="24"/>
        <v>304814</v>
      </c>
      <c r="F63" s="91">
        <v>344587</v>
      </c>
      <c r="G63" s="91">
        <v>19542</v>
      </c>
      <c r="H63" s="91">
        <v>18476</v>
      </c>
      <c r="I63" s="92">
        <f t="shared" si="23"/>
        <v>382605</v>
      </c>
      <c r="J63" s="93">
        <f t="shared" si="14"/>
        <v>0.255208094116412</v>
      </c>
      <c r="K63" s="94">
        <f t="shared" si="15"/>
        <v>0.08255864042708268</v>
      </c>
      <c r="L63" s="94">
        <f t="shared" si="16"/>
        <v>0.03969950897108995</v>
      </c>
      <c r="M63" s="94">
        <f t="shared" si="17"/>
        <v>0.07907137691123686</v>
      </c>
      <c r="N63" s="95">
        <f t="shared" si="18"/>
        <v>0.07831936620754218</v>
      </c>
      <c r="O63" s="94">
        <f t="shared" si="19"/>
        <v>0.10284125349295917</v>
      </c>
      <c r="P63" s="94">
        <f t="shared" si="20"/>
        <v>0.02260633375286888</v>
      </c>
      <c r="Q63" s="94">
        <f t="shared" si="21"/>
        <v>0.07517873055529559</v>
      </c>
      <c r="R63" s="96">
        <f t="shared" si="22"/>
        <v>0.08576898987150064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</row>
    <row r="64" spans="1:18" ht="15.75" customHeight="1">
      <c r="A64" s="34" t="s">
        <v>18</v>
      </c>
      <c r="B64" s="35">
        <v>0</v>
      </c>
      <c r="C64" s="35">
        <v>0</v>
      </c>
      <c r="D64" s="35">
        <v>39</v>
      </c>
      <c r="E64" s="36">
        <f t="shared" si="24"/>
        <v>39</v>
      </c>
      <c r="F64" s="35">
        <v>0</v>
      </c>
      <c r="G64" s="35">
        <v>0</v>
      </c>
      <c r="H64" s="35">
        <v>28</v>
      </c>
      <c r="I64" s="36">
        <f t="shared" si="23"/>
        <v>28</v>
      </c>
      <c r="J64" s="38">
        <f t="shared" si="14"/>
        <v>-0.28205128205128205</v>
      </c>
      <c r="K64" s="39">
        <f t="shared" si="15"/>
        <v>0</v>
      </c>
      <c r="L64" s="39">
        <f t="shared" si="16"/>
        <v>0</v>
      </c>
      <c r="M64" s="39">
        <f t="shared" si="17"/>
        <v>0.00015388142213264657</v>
      </c>
      <c r="N64" s="40">
        <f t="shared" si="18"/>
        <v>1.0020718477806613E-05</v>
      </c>
      <c r="O64" s="39">
        <f t="shared" si="19"/>
        <v>0</v>
      </c>
      <c r="P64" s="39">
        <f t="shared" si="20"/>
        <v>0</v>
      </c>
      <c r="Q64" s="39">
        <f t="shared" si="21"/>
        <v>0.00011393182807687143</v>
      </c>
      <c r="R64" s="41">
        <f t="shared" si="22"/>
        <v>6.276791250511671E-06</v>
      </c>
    </row>
    <row r="65" spans="1:86" s="72" customFormat="1" ht="15.75" customHeight="1">
      <c r="A65" s="90" t="s">
        <v>19</v>
      </c>
      <c r="B65" s="91">
        <v>5023</v>
      </c>
      <c r="C65" s="91">
        <v>2786</v>
      </c>
      <c r="D65" s="91">
        <v>1295</v>
      </c>
      <c r="E65" s="92">
        <f t="shared" si="24"/>
        <v>9104</v>
      </c>
      <c r="F65" s="91">
        <v>5364</v>
      </c>
      <c r="G65" s="91">
        <v>2491</v>
      </c>
      <c r="H65" s="91">
        <v>1227</v>
      </c>
      <c r="I65" s="92">
        <f t="shared" si="23"/>
        <v>9082</v>
      </c>
      <c r="J65" s="93">
        <f t="shared" si="14"/>
        <v>-0.0024165202108963092</v>
      </c>
      <c r="K65" s="94">
        <f t="shared" si="15"/>
        <v>0.0015341350703460333</v>
      </c>
      <c r="L65" s="94">
        <f t="shared" si="16"/>
        <v>0.007646766592467962</v>
      </c>
      <c r="M65" s="94">
        <f t="shared" si="17"/>
        <v>0.005109652350301983</v>
      </c>
      <c r="N65" s="95">
        <f t="shared" si="18"/>
        <v>0.002339195410819267</v>
      </c>
      <c r="O65" s="94">
        <f t="shared" si="19"/>
        <v>0.00160087433285711</v>
      </c>
      <c r="P65" s="94">
        <f t="shared" si="20"/>
        <v>0.002881607684904124</v>
      </c>
      <c r="Q65" s="94">
        <f t="shared" si="21"/>
        <v>0.004992655466082902</v>
      </c>
      <c r="R65" s="96">
        <f t="shared" si="22"/>
        <v>0.0020359220763266784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</row>
    <row r="66" spans="1:18" ht="15.75" customHeight="1">
      <c r="A66" s="34" t="s">
        <v>20</v>
      </c>
      <c r="B66" s="35">
        <v>345232</v>
      </c>
      <c r="C66" s="35">
        <v>68155</v>
      </c>
      <c r="D66" s="35">
        <v>0</v>
      </c>
      <c r="E66" s="36">
        <f t="shared" si="24"/>
        <v>413387</v>
      </c>
      <c r="F66" s="35">
        <v>424434</v>
      </c>
      <c r="G66" s="35">
        <v>81490</v>
      </c>
      <c r="H66" s="35">
        <v>0</v>
      </c>
      <c r="I66" s="36">
        <f t="shared" si="23"/>
        <v>505924</v>
      </c>
      <c r="J66" s="38">
        <f t="shared" si="14"/>
        <v>0.2238507742139932</v>
      </c>
      <c r="K66" s="39">
        <f t="shared" si="15"/>
        <v>0.10544147294559064</v>
      </c>
      <c r="L66" s="39">
        <f t="shared" si="16"/>
        <v>0.18706582092952403</v>
      </c>
      <c r="M66" s="39">
        <f t="shared" si="17"/>
        <v>0</v>
      </c>
      <c r="N66" s="40">
        <f t="shared" si="18"/>
        <v>0.1062162756252575</v>
      </c>
      <c r="O66" s="39">
        <f t="shared" si="19"/>
        <v>0.12667141994628536</v>
      </c>
      <c r="P66" s="39">
        <f t="shared" si="20"/>
        <v>0.09426824979640186</v>
      </c>
      <c r="Q66" s="39">
        <f t="shared" si="21"/>
        <v>0</v>
      </c>
      <c r="R66" s="41">
        <f t="shared" si="22"/>
        <v>0.11341354773656666</v>
      </c>
    </row>
    <row r="67" spans="1:86" s="72" customFormat="1" ht="15.75" customHeight="1">
      <c r="A67" s="90" t="s">
        <v>59</v>
      </c>
      <c r="B67" s="91">
        <v>3324</v>
      </c>
      <c r="C67" s="91">
        <v>1774</v>
      </c>
      <c r="D67" s="91">
        <v>160</v>
      </c>
      <c r="E67" s="92">
        <f>+B67+C67+D67</f>
        <v>5258</v>
      </c>
      <c r="F67" s="98" t="s">
        <v>76</v>
      </c>
      <c r="G67" s="98" t="s">
        <v>76</v>
      </c>
      <c r="H67" s="98" t="s">
        <v>76</v>
      </c>
      <c r="I67" s="99" t="s">
        <v>76</v>
      </c>
      <c r="J67" s="100" t="s">
        <v>76</v>
      </c>
      <c r="K67" s="94">
        <f t="shared" si="15"/>
        <v>0.0010152229691081456</v>
      </c>
      <c r="L67" s="94">
        <f t="shared" si="16"/>
        <v>0.004869118426072565</v>
      </c>
      <c r="M67" s="94">
        <f t="shared" si="17"/>
        <v>0.000631308398492909</v>
      </c>
      <c r="N67" s="95">
        <f t="shared" si="18"/>
        <v>0.0013509984040078764</v>
      </c>
      <c r="O67" s="101" t="s">
        <v>76</v>
      </c>
      <c r="P67" s="101" t="s">
        <v>76</v>
      </c>
      <c r="Q67" s="101" t="s">
        <v>76</v>
      </c>
      <c r="R67" s="102" t="s">
        <v>76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18" ht="15.75" customHeight="1">
      <c r="A68" s="34" t="s">
        <v>60</v>
      </c>
      <c r="B68" s="71">
        <v>5037</v>
      </c>
      <c r="C68" s="71">
        <v>0</v>
      </c>
      <c r="D68" s="71">
        <v>6183</v>
      </c>
      <c r="E68" s="36">
        <f>+B68+C68+D68</f>
        <v>11220</v>
      </c>
      <c r="F68" s="35">
        <v>28881</v>
      </c>
      <c r="G68" s="35">
        <v>296</v>
      </c>
      <c r="H68" s="35">
        <v>5652</v>
      </c>
      <c r="I68" s="36">
        <f>+F68+G68+H68</f>
        <v>34829</v>
      </c>
      <c r="J68" s="38">
        <f>IF(+E68&gt;0,(+I68-E68)/E68,0)</f>
        <v>2.104188948306595</v>
      </c>
      <c r="K68" s="39">
        <f t="shared" si="15"/>
        <v>0.001538410979361531</v>
      </c>
      <c r="L68" s="39">
        <f t="shared" si="16"/>
        <v>0</v>
      </c>
      <c r="M68" s="39">
        <f t="shared" si="17"/>
        <v>0.024396123924260354</v>
      </c>
      <c r="N68" s="40">
        <f t="shared" si="18"/>
        <v>0.0028828836236151336</v>
      </c>
      <c r="O68" s="39">
        <f t="shared" si="19"/>
        <v>0.008619472708286016</v>
      </c>
      <c r="P68" s="39">
        <f t="shared" si="20"/>
        <v>0.0003424150440512327</v>
      </c>
      <c r="Q68" s="39">
        <f t="shared" si="21"/>
        <v>0.022997953296088475</v>
      </c>
      <c r="R68" s="41">
        <f t="shared" si="22"/>
        <v>0.007807655802288249</v>
      </c>
    </row>
    <row r="69" spans="1:86" s="72" customFormat="1" ht="15.75" customHeight="1">
      <c r="A69" s="90" t="str">
        <f>+A32</f>
        <v>Swiss Re*</v>
      </c>
      <c r="B69" s="91">
        <v>565676</v>
      </c>
      <c r="C69" s="91">
        <v>120592</v>
      </c>
      <c r="D69" s="91">
        <v>0</v>
      </c>
      <c r="E69" s="92">
        <f>+B69+C69+D69</f>
        <v>686268</v>
      </c>
      <c r="F69" s="91">
        <v>652283</v>
      </c>
      <c r="G69" s="91">
        <v>599838</v>
      </c>
      <c r="H69" s="91">
        <v>0</v>
      </c>
      <c r="I69" s="92">
        <f t="shared" si="23"/>
        <v>1252121</v>
      </c>
      <c r="J69" s="93">
        <f t="shared" si="14"/>
        <v>0.82453647846031</v>
      </c>
      <c r="K69" s="94">
        <f t="shared" si="15"/>
        <v>0.17276993630361592</v>
      </c>
      <c r="L69" s="94">
        <f t="shared" si="16"/>
        <v>0.33099026450785946</v>
      </c>
      <c r="M69" s="94">
        <f t="shared" si="17"/>
        <v>0</v>
      </c>
      <c r="N69" s="95">
        <f t="shared" si="18"/>
        <v>0.17633072893147153</v>
      </c>
      <c r="O69" s="94">
        <f t="shared" si="19"/>
        <v>0.19467246690138595</v>
      </c>
      <c r="P69" s="94">
        <f t="shared" si="20"/>
        <v>0.6938971459243355</v>
      </c>
      <c r="Q69" s="94">
        <f t="shared" si="21"/>
        <v>0</v>
      </c>
      <c r="R69" s="96">
        <f t="shared" si="22"/>
        <v>0.2806893620493544</v>
      </c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</row>
    <row r="70" spans="1:18" ht="15.75" customHeight="1" thickBot="1">
      <c r="A70" s="34" t="s">
        <v>21</v>
      </c>
      <c r="B70" s="35">
        <v>362758</v>
      </c>
      <c r="C70" s="35">
        <v>0</v>
      </c>
      <c r="D70" s="35">
        <v>0</v>
      </c>
      <c r="E70" s="36">
        <f>+B70+C70+D70</f>
        <v>362758</v>
      </c>
      <c r="F70" s="35">
        <v>389936</v>
      </c>
      <c r="G70" s="35">
        <v>0</v>
      </c>
      <c r="H70" s="35">
        <v>0</v>
      </c>
      <c r="I70" s="36">
        <f t="shared" si="23"/>
        <v>389936</v>
      </c>
      <c r="J70" s="38">
        <f t="shared" si="14"/>
        <v>0.07492047039624213</v>
      </c>
      <c r="K70" s="39">
        <f t="shared" si="15"/>
        <v>0.11079430018884857</v>
      </c>
      <c r="L70" s="39">
        <f t="shared" si="16"/>
        <v>0</v>
      </c>
      <c r="M70" s="39">
        <f t="shared" si="17"/>
        <v>0</v>
      </c>
      <c r="N70" s="40">
        <f t="shared" si="18"/>
        <v>0.09320758445056851</v>
      </c>
      <c r="O70" s="39">
        <f t="shared" si="19"/>
        <v>0.11637556559600486</v>
      </c>
      <c r="P70" s="39">
        <f t="shared" si="20"/>
        <v>0</v>
      </c>
      <c r="Q70" s="39">
        <f t="shared" si="21"/>
        <v>0</v>
      </c>
      <c r="R70" s="41">
        <f t="shared" si="22"/>
        <v>0.08741238832355425</v>
      </c>
    </row>
    <row r="71" spans="1:18" ht="15.75" customHeight="1" thickBot="1">
      <c r="A71" s="20" t="s">
        <v>22</v>
      </c>
      <c r="B71" s="21">
        <f aca="true" t="shared" si="25" ref="B71:I71">SUM(B48:B70)</f>
        <v>3274157.6</v>
      </c>
      <c r="C71" s="21">
        <f t="shared" si="25"/>
        <v>364337</v>
      </c>
      <c r="D71" s="21">
        <f t="shared" si="25"/>
        <v>253441.9</v>
      </c>
      <c r="E71" s="22">
        <f t="shared" si="25"/>
        <v>3891936.5</v>
      </c>
      <c r="F71" s="21">
        <f t="shared" si="25"/>
        <v>3350669</v>
      </c>
      <c r="G71" s="21">
        <f t="shared" si="25"/>
        <v>864448</v>
      </c>
      <c r="H71" s="21">
        <f t="shared" si="25"/>
        <v>245761</v>
      </c>
      <c r="I71" s="21">
        <f t="shared" si="25"/>
        <v>4460878</v>
      </c>
      <c r="J71" s="23">
        <f t="shared" si="14"/>
        <v>0.14618468209848748</v>
      </c>
      <c r="K71" s="24">
        <f aca="true" t="shared" si="26" ref="K71:R71">SUM(K48:K70)</f>
        <v>1</v>
      </c>
      <c r="L71" s="24">
        <f t="shared" si="26"/>
        <v>1</v>
      </c>
      <c r="M71" s="24">
        <f t="shared" si="26"/>
        <v>1</v>
      </c>
      <c r="N71" s="25">
        <f t="shared" si="26"/>
        <v>1</v>
      </c>
      <c r="O71" s="24">
        <f t="shared" si="26"/>
        <v>1</v>
      </c>
      <c r="P71" s="24">
        <f t="shared" si="26"/>
        <v>1</v>
      </c>
      <c r="Q71" s="24">
        <f t="shared" si="26"/>
        <v>0.9999999999999998</v>
      </c>
      <c r="R71" s="27">
        <f t="shared" si="26"/>
        <v>1</v>
      </c>
    </row>
    <row r="72" spans="1:18" ht="15.75" customHeight="1">
      <c r="A72" s="1" t="s">
        <v>65</v>
      </c>
      <c r="B72" s="11"/>
      <c r="C72" s="11"/>
      <c r="D72" s="11"/>
      <c r="E72" s="11"/>
      <c r="F72" s="11"/>
      <c r="G72" s="11"/>
      <c r="H72" s="11"/>
      <c r="I72" s="11"/>
      <c r="J72" s="5"/>
      <c r="K72" s="15"/>
      <c r="L72" s="15"/>
      <c r="M72" s="15"/>
      <c r="N72" s="15"/>
      <c r="O72" s="15"/>
      <c r="P72" s="15"/>
      <c r="Q72" s="15"/>
      <c r="R72" s="15"/>
    </row>
    <row r="73" spans="1:18" ht="15.75" customHeight="1">
      <c r="A73" s="1" t="str">
        <f>+A36</f>
        <v>* 2001 Ordinary Portfolio Amount includes $470,093 of inforce assumed from Lincoln Re.</v>
      </c>
      <c r="B73" s="11"/>
      <c r="C73" s="11"/>
      <c r="D73" s="11"/>
      <c r="E73" s="11"/>
      <c r="F73" s="11"/>
      <c r="G73" s="11"/>
      <c r="H73" s="11"/>
      <c r="I73" s="11"/>
      <c r="J73" s="5"/>
      <c r="K73" s="15"/>
      <c r="L73" s="15"/>
      <c r="M73" s="15"/>
      <c r="N73" s="15"/>
      <c r="O73" s="15"/>
      <c r="P73" s="15"/>
      <c r="Q73" s="15"/>
      <c r="R73" s="15"/>
    </row>
    <row r="74" spans="1:18" ht="15.75" customHeight="1">
      <c r="A74" s="30" t="str">
        <f>+A37</f>
        <v>Canadian Exchange Rate Used: 2000 = .6631 and 2001 = .6221</v>
      </c>
      <c r="B74" s="11"/>
      <c r="C74" s="11"/>
      <c r="D74" s="11"/>
      <c r="E74" s="11"/>
      <c r="F74" s="11"/>
      <c r="G74" s="11"/>
      <c r="H74" s="11"/>
      <c r="I74" s="11"/>
      <c r="J74" s="5"/>
      <c r="K74" s="15"/>
      <c r="L74" s="15"/>
      <c r="M74" s="15"/>
      <c r="N74" s="15"/>
      <c r="O74" s="15"/>
      <c r="P74" s="15"/>
      <c r="Q74" s="15"/>
      <c r="R74" s="15"/>
    </row>
    <row r="75" spans="1:18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 customHeight="1">
      <c r="A76" s="1" t="str">
        <f>+A39</f>
        <v>Date:</v>
      </c>
      <c r="B76" s="3">
        <f>+B39</f>
        <v>37375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 customHeight="1">
      <c r="A78" s="1"/>
      <c r="B78" s="1"/>
      <c r="C78" s="1"/>
      <c r="D78" s="1"/>
      <c r="E78" s="2" t="s">
        <v>23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5.75" customHeight="1" thickBot="1"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 customHeight="1">
      <c r="A80" s="44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6"/>
      <c r="N80" s="1"/>
      <c r="O80" s="1"/>
      <c r="P80" s="1"/>
      <c r="Q80" s="1"/>
      <c r="R80" s="1"/>
    </row>
    <row r="81" spans="1:18" ht="15.75" customHeight="1">
      <c r="A81" s="51"/>
      <c r="B81" s="48" t="s">
        <v>42</v>
      </c>
      <c r="C81" s="48"/>
      <c r="D81" s="48"/>
      <c r="E81" s="52"/>
      <c r="F81" s="48" t="s">
        <v>41</v>
      </c>
      <c r="G81" s="48"/>
      <c r="H81" s="48"/>
      <c r="I81" s="52"/>
      <c r="J81" s="61" t="s">
        <v>40</v>
      </c>
      <c r="K81" s="48"/>
      <c r="L81" s="48"/>
      <c r="M81" s="50"/>
      <c r="N81" s="1"/>
      <c r="O81" s="1"/>
      <c r="P81" s="1"/>
      <c r="Q81" s="1"/>
      <c r="R81" s="1"/>
    </row>
    <row r="82" spans="1:18" ht="15.75" customHeight="1">
      <c r="A82" s="51"/>
      <c r="B82" s="48"/>
      <c r="C82" s="48">
        <f>+C45</f>
        <v>2000</v>
      </c>
      <c r="D82" s="48"/>
      <c r="E82" s="52"/>
      <c r="F82" s="48"/>
      <c r="G82" s="48">
        <f>+G45</f>
        <v>2001</v>
      </c>
      <c r="H82" s="48"/>
      <c r="I82" s="52"/>
      <c r="J82" s="48"/>
      <c r="K82" s="48">
        <f>+G82</f>
        <v>2001</v>
      </c>
      <c r="L82" s="48"/>
      <c r="M82" s="50"/>
      <c r="N82" s="1"/>
      <c r="O82" s="1"/>
      <c r="P82" s="1"/>
      <c r="Q82" s="1"/>
      <c r="R82" s="1"/>
    </row>
    <row r="83" spans="1:18" ht="15.75" customHeight="1" thickBot="1">
      <c r="A83" s="54" t="s">
        <v>2</v>
      </c>
      <c r="B83" s="57" t="s">
        <v>3</v>
      </c>
      <c r="C83" s="57" t="s">
        <v>4</v>
      </c>
      <c r="D83" s="57" t="s">
        <v>5</v>
      </c>
      <c r="E83" s="58" t="s">
        <v>6</v>
      </c>
      <c r="F83" s="57" t="s">
        <v>3</v>
      </c>
      <c r="G83" s="57" t="s">
        <v>4</v>
      </c>
      <c r="H83" s="57" t="s">
        <v>5</v>
      </c>
      <c r="I83" s="58" t="s">
        <v>6</v>
      </c>
      <c r="J83" s="57" t="s">
        <v>3</v>
      </c>
      <c r="K83" s="57" t="s">
        <v>4</v>
      </c>
      <c r="L83" s="57" t="s">
        <v>5</v>
      </c>
      <c r="M83" s="60" t="s">
        <v>6</v>
      </c>
      <c r="N83" s="1"/>
      <c r="O83" s="1"/>
      <c r="P83" s="1"/>
      <c r="Q83" s="1"/>
      <c r="R83" s="1"/>
    </row>
    <row r="84" spans="1:18" ht="15.75" customHeight="1" thickTop="1">
      <c r="A84" s="34"/>
      <c r="B84" s="74"/>
      <c r="C84" s="74"/>
      <c r="D84" s="74"/>
      <c r="E84" s="75"/>
      <c r="F84" s="74"/>
      <c r="G84" s="74"/>
      <c r="H84" s="74"/>
      <c r="I84" s="75"/>
      <c r="J84" s="74"/>
      <c r="K84" s="74"/>
      <c r="L84" s="74"/>
      <c r="M84" s="76"/>
      <c r="N84" s="1"/>
      <c r="O84" s="1"/>
      <c r="P84" s="1"/>
      <c r="Q84" s="1"/>
      <c r="R84" s="1"/>
    </row>
    <row r="85" spans="1:13" ht="15.75" customHeight="1">
      <c r="A85" s="34" t="str">
        <f aca="true" t="shared" si="27" ref="A85:A94">+A48</f>
        <v>Allianz</v>
      </c>
      <c r="B85" s="35">
        <f aca="true" t="shared" si="28" ref="B85:D87">+B48</f>
        <v>150046</v>
      </c>
      <c r="C85" s="35">
        <f t="shared" si="28"/>
        <v>14916</v>
      </c>
      <c r="D85" s="35">
        <f t="shared" si="28"/>
        <v>819</v>
      </c>
      <c r="E85" s="36">
        <f aca="true" t="shared" si="29" ref="E85:E95">+D85+C85+B85</f>
        <v>165781</v>
      </c>
      <c r="F85" s="35">
        <f>+F11</f>
        <v>43711</v>
      </c>
      <c r="G85" s="35">
        <f>+G11</f>
        <v>0</v>
      </c>
      <c r="H85" s="35">
        <f>+H11</f>
        <v>2</v>
      </c>
      <c r="I85" s="36">
        <f aca="true" t="shared" si="30" ref="I85:I95">+F85+G85+H85</f>
        <v>43713</v>
      </c>
      <c r="J85" s="35">
        <f aca="true" t="shared" si="31" ref="J85:L88">+F48</f>
        <v>177572</v>
      </c>
      <c r="K85" s="35">
        <f t="shared" si="31"/>
        <v>16400</v>
      </c>
      <c r="L85" s="35">
        <f t="shared" si="31"/>
        <v>667</v>
      </c>
      <c r="M85" s="37">
        <f aca="true" t="shared" si="32" ref="M85:M90">+L85+K85+J85</f>
        <v>194639</v>
      </c>
    </row>
    <row r="86" spans="1:86" s="72" customFormat="1" ht="15.75" customHeight="1">
      <c r="A86" s="90" t="str">
        <f t="shared" si="27"/>
        <v>Annuity and Life Re</v>
      </c>
      <c r="B86" s="91">
        <f t="shared" si="28"/>
        <v>64826.6</v>
      </c>
      <c r="C86" s="91">
        <f t="shared" si="28"/>
        <v>0</v>
      </c>
      <c r="D86" s="91">
        <f t="shared" si="28"/>
        <v>10001.9</v>
      </c>
      <c r="E86" s="92">
        <f t="shared" si="29"/>
        <v>74828.5</v>
      </c>
      <c r="F86" s="91">
        <f>+F12</f>
        <v>55764</v>
      </c>
      <c r="G86" s="91">
        <v>0</v>
      </c>
      <c r="H86" s="91">
        <f>+H12</f>
        <v>0</v>
      </c>
      <c r="I86" s="92">
        <f t="shared" si="30"/>
        <v>55764</v>
      </c>
      <c r="J86" s="91">
        <f t="shared" si="31"/>
        <v>106904</v>
      </c>
      <c r="K86" s="91">
        <f t="shared" si="31"/>
        <v>0</v>
      </c>
      <c r="L86" s="91">
        <f t="shared" si="31"/>
        <v>8484</v>
      </c>
      <c r="M86" s="103">
        <f t="shared" si="32"/>
        <v>115388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</row>
    <row r="87" spans="1:13" ht="15.75" customHeight="1">
      <c r="A87" s="34" t="str">
        <f t="shared" si="27"/>
        <v>AUL</v>
      </c>
      <c r="B87" s="35">
        <f t="shared" si="28"/>
        <v>155567</v>
      </c>
      <c r="C87" s="35">
        <f t="shared" si="28"/>
        <v>0</v>
      </c>
      <c r="D87" s="35">
        <f t="shared" si="28"/>
        <v>336</v>
      </c>
      <c r="E87" s="36">
        <f t="shared" si="29"/>
        <v>155903</v>
      </c>
      <c r="F87" s="35">
        <f>+F13</f>
        <v>21750</v>
      </c>
      <c r="G87" s="35">
        <f>+G13</f>
        <v>0</v>
      </c>
      <c r="H87" s="35">
        <f>+H13</f>
        <v>49</v>
      </c>
      <c r="I87" s="36">
        <f t="shared" si="30"/>
        <v>21799</v>
      </c>
      <c r="J87" s="35">
        <f t="shared" si="31"/>
        <v>164159</v>
      </c>
      <c r="K87" s="35">
        <f t="shared" si="31"/>
        <v>0</v>
      </c>
      <c r="L87" s="35">
        <f t="shared" si="31"/>
        <v>286</v>
      </c>
      <c r="M87" s="37">
        <f t="shared" si="32"/>
        <v>164445</v>
      </c>
    </row>
    <row r="88" spans="1:86" s="72" customFormat="1" ht="15.75" customHeight="1">
      <c r="A88" s="90" t="str">
        <f t="shared" si="27"/>
        <v>BMA</v>
      </c>
      <c r="B88" s="91">
        <f aca="true" t="shared" si="33" ref="B88:D90">+B51</f>
        <v>107920</v>
      </c>
      <c r="C88" s="91">
        <f t="shared" si="33"/>
        <v>0</v>
      </c>
      <c r="D88" s="91">
        <f t="shared" si="33"/>
        <v>0</v>
      </c>
      <c r="E88" s="92">
        <f t="shared" si="29"/>
        <v>107920</v>
      </c>
      <c r="F88" s="91">
        <f>+F14</f>
        <v>39003</v>
      </c>
      <c r="G88" s="91">
        <f>+G14</f>
        <v>985</v>
      </c>
      <c r="H88" s="91">
        <f>+H14</f>
        <v>0</v>
      </c>
      <c r="I88" s="92">
        <f t="shared" si="30"/>
        <v>39988</v>
      </c>
      <c r="J88" s="91">
        <f t="shared" si="31"/>
        <v>132938</v>
      </c>
      <c r="K88" s="91">
        <f t="shared" si="31"/>
        <v>952</v>
      </c>
      <c r="L88" s="91">
        <f t="shared" si="31"/>
        <v>0</v>
      </c>
      <c r="M88" s="103">
        <f t="shared" si="32"/>
        <v>133890</v>
      </c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</row>
    <row r="89" spans="1:13" ht="15.75" customHeight="1">
      <c r="A89" s="34" t="str">
        <f t="shared" si="27"/>
        <v>Canada Life </v>
      </c>
      <c r="B89" s="35">
        <f t="shared" si="33"/>
        <v>32330</v>
      </c>
      <c r="C89" s="35">
        <f t="shared" si="33"/>
        <v>5502</v>
      </c>
      <c r="D89" s="35">
        <f t="shared" si="33"/>
        <v>0</v>
      </c>
      <c r="E89" s="36">
        <f t="shared" si="29"/>
        <v>37832</v>
      </c>
      <c r="F89" s="35">
        <f>+F15</f>
        <v>19010</v>
      </c>
      <c r="G89" s="35">
        <f>+G15</f>
        <v>0</v>
      </c>
      <c r="H89" s="35">
        <f>+H15</f>
        <v>0</v>
      </c>
      <c r="I89" s="36">
        <f t="shared" si="30"/>
        <v>19010</v>
      </c>
      <c r="J89" s="35">
        <f aca="true" t="shared" si="34" ref="J89:L90">+F52</f>
        <v>45594</v>
      </c>
      <c r="K89" s="35">
        <f t="shared" si="34"/>
        <v>4975</v>
      </c>
      <c r="L89" s="35">
        <f t="shared" si="34"/>
        <v>0</v>
      </c>
      <c r="M89" s="37">
        <f t="shared" si="32"/>
        <v>50569</v>
      </c>
    </row>
    <row r="90" spans="1:86" s="72" customFormat="1" ht="15.75" customHeight="1">
      <c r="A90" s="90" t="str">
        <f t="shared" si="27"/>
        <v>Clarica LIC </v>
      </c>
      <c r="B90" s="91">
        <f t="shared" si="33"/>
        <v>0</v>
      </c>
      <c r="C90" s="91">
        <f t="shared" si="33"/>
        <v>0</v>
      </c>
      <c r="D90" s="91">
        <f t="shared" si="33"/>
        <v>65161</v>
      </c>
      <c r="E90" s="92">
        <f t="shared" si="29"/>
        <v>65161</v>
      </c>
      <c r="F90" s="91">
        <f>+F16</f>
        <v>0</v>
      </c>
      <c r="G90" s="91">
        <f>+G16</f>
        <v>0</v>
      </c>
      <c r="H90" s="91">
        <f>+H16</f>
        <v>8262</v>
      </c>
      <c r="I90" s="92">
        <f t="shared" si="30"/>
        <v>8262</v>
      </c>
      <c r="J90" s="91">
        <f t="shared" si="34"/>
        <v>0</v>
      </c>
      <c r="K90" s="91">
        <f t="shared" si="34"/>
        <v>0</v>
      </c>
      <c r="L90" s="91">
        <f t="shared" si="34"/>
        <v>64348</v>
      </c>
      <c r="M90" s="103">
        <f t="shared" si="32"/>
        <v>64348</v>
      </c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</row>
    <row r="91" spans="1:13" ht="15.75" customHeight="1">
      <c r="A91" s="34" t="str">
        <f t="shared" si="27"/>
        <v>Employers/ERC</v>
      </c>
      <c r="B91" s="35">
        <f aca="true" t="shared" si="35" ref="B91:D94">+B54</f>
        <v>329448</v>
      </c>
      <c r="C91" s="35">
        <f t="shared" si="35"/>
        <v>27889</v>
      </c>
      <c r="D91" s="35">
        <f t="shared" si="35"/>
        <v>2562</v>
      </c>
      <c r="E91" s="36">
        <f t="shared" si="29"/>
        <v>359899</v>
      </c>
      <c r="F91" s="35">
        <f aca="true" t="shared" si="36" ref="F91:H93">+F17</f>
        <v>37248</v>
      </c>
      <c r="G91" s="35">
        <f t="shared" si="36"/>
        <v>29359</v>
      </c>
      <c r="H91" s="35">
        <f t="shared" si="36"/>
        <v>0</v>
      </c>
      <c r="I91" s="36">
        <f t="shared" si="30"/>
        <v>66607</v>
      </c>
      <c r="J91" s="35">
        <f aca="true" t="shared" si="37" ref="J91:L95">+F54</f>
        <v>324283</v>
      </c>
      <c r="K91" s="84">
        <f t="shared" si="37"/>
        <v>55693</v>
      </c>
      <c r="L91" s="84">
        <f t="shared" si="37"/>
        <v>3133</v>
      </c>
      <c r="M91" s="37">
        <f>+L91+K91+J91</f>
        <v>383109</v>
      </c>
    </row>
    <row r="92" spans="1:86" s="72" customFormat="1" ht="15.75" customHeight="1">
      <c r="A92" s="90" t="str">
        <f t="shared" si="27"/>
        <v>Equitable</v>
      </c>
      <c r="B92" s="91">
        <f t="shared" si="35"/>
        <v>0</v>
      </c>
      <c r="C92" s="91">
        <f t="shared" si="35"/>
        <v>0</v>
      </c>
      <c r="D92" s="91">
        <f t="shared" si="35"/>
        <v>44053</v>
      </c>
      <c r="E92" s="92">
        <f t="shared" si="29"/>
        <v>44053</v>
      </c>
      <c r="F92" s="91">
        <f t="shared" si="36"/>
        <v>0</v>
      </c>
      <c r="G92" s="91">
        <f t="shared" si="36"/>
        <v>0</v>
      </c>
      <c r="H92" s="91">
        <f t="shared" si="36"/>
        <v>3457</v>
      </c>
      <c r="I92" s="92">
        <f t="shared" si="30"/>
        <v>3457</v>
      </c>
      <c r="J92" s="91">
        <f t="shared" si="37"/>
        <v>0</v>
      </c>
      <c r="K92" s="104">
        <f t="shared" si="37"/>
        <v>0</v>
      </c>
      <c r="L92" s="104">
        <f t="shared" si="37"/>
        <v>43609</v>
      </c>
      <c r="M92" s="103">
        <f>+L92+K92+J92</f>
        <v>43609</v>
      </c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</row>
    <row r="93" spans="1:13" ht="15.75" customHeight="1">
      <c r="A93" s="34" t="str">
        <f t="shared" si="27"/>
        <v>General &amp; Cologne</v>
      </c>
      <c r="B93" s="35">
        <f t="shared" si="35"/>
        <v>102402</v>
      </c>
      <c r="C93" s="35">
        <f t="shared" si="35"/>
        <v>8788</v>
      </c>
      <c r="D93" s="35">
        <f t="shared" si="35"/>
        <v>0</v>
      </c>
      <c r="E93" s="36">
        <f t="shared" si="29"/>
        <v>111190</v>
      </c>
      <c r="F93" s="35">
        <f t="shared" si="36"/>
        <v>16231</v>
      </c>
      <c r="G93" s="35">
        <f t="shared" si="36"/>
        <v>0</v>
      </c>
      <c r="H93" s="35">
        <f t="shared" si="36"/>
        <v>0</v>
      </c>
      <c r="I93" s="36">
        <f t="shared" si="30"/>
        <v>16231</v>
      </c>
      <c r="J93" s="35">
        <f t="shared" si="37"/>
        <v>105555</v>
      </c>
      <c r="K93" s="84">
        <f t="shared" si="37"/>
        <v>12057</v>
      </c>
      <c r="L93" s="84">
        <f t="shared" si="37"/>
        <v>0</v>
      </c>
      <c r="M93" s="37">
        <f>+L93+K93+J93</f>
        <v>117612</v>
      </c>
    </row>
    <row r="94" spans="1:86" s="72" customFormat="1" ht="15.75" customHeight="1">
      <c r="A94" s="90" t="str">
        <f t="shared" si="27"/>
        <v>Gerling Global</v>
      </c>
      <c r="B94" s="91">
        <f t="shared" si="35"/>
        <v>85783</v>
      </c>
      <c r="C94" s="91">
        <f t="shared" si="35"/>
        <v>18411</v>
      </c>
      <c r="D94" s="91">
        <f t="shared" si="35"/>
        <v>1847</v>
      </c>
      <c r="E94" s="92">
        <f t="shared" si="29"/>
        <v>106041</v>
      </c>
      <c r="F94" s="91">
        <f aca="true" t="shared" si="38" ref="F94:H105">+F20</f>
        <v>27746</v>
      </c>
      <c r="G94" s="91">
        <f t="shared" si="38"/>
        <v>5133</v>
      </c>
      <c r="H94" s="91">
        <f t="shared" si="38"/>
        <v>92</v>
      </c>
      <c r="I94" s="92">
        <f t="shared" si="30"/>
        <v>32971</v>
      </c>
      <c r="J94" s="91">
        <f t="shared" si="37"/>
        <v>101023</v>
      </c>
      <c r="K94" s="104">
        <f t="shared" si="37"/>
        <v>21973</v>
      </c>
      <c r="L94" s="104">
        <f t="shared" si="37"/>
        <v>1750</v>
      </c>
      <c r="M94" s="103">
        <f>+L94+K94+J94</f>
        <v>124746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</row>
    <row r="95" spans="1:13" ht="15.75" customHeight="1">
      <c r="A95" s="34" t="str">
        <f>+A58</f>
        <v>Guardian</v>
      </c>
      <c r="B95" s="71">
        <f>+B58</f>
        <v>0</v>
      </c>
      <c r="C95" s="71">
        <f>+C58</f>
        <v>8900</v>
      </c>
      <c r="D95" s="71">
        <f>+D58</f>
        <v>2784</v>
      </c>
      <c r="E95" s="36">
        <f t="shared" si="29"/>
        <v>11684</v>
      </c>
      <c r="F95" s="71">
        <f t="shared" si="38"/>
        <v>0</v>
      </c>
      <c r="G95" s="71">
        <f t="shared" si="38"/>
        <v>168</v>
      </c>
      <c r="H95" s="71">
        <f t="shared" si="38"/>
        <v>950</v>
      </c>
      <c r="I95" s="36">
        <f t="shared" si="30"/>
        <v>1118</v>
      </c>
      <c r="J95" s="35">
        <f t="shared" si="37"/>
        <v>0</v>
      </c>
      <c r="K95" s="84">
        <f t="shared" si="37"/>
        <v>8174</v>
      </c>
      <c r="L95" s="84">
        <f t="shared" si="37"/>
        <v>3256</v>
      </c>
      <c r="M95" s="37">
        <f>+L95+K95+J95</f>
        <v>11430</v>
      </c>
    </row>
    <row r="96" spans="1:86" s="72" customFormat="1" ht="15.75" customHeight="1">
      <c r="A96" s="90" t="str">
        <f aca="true" t="shared" si="39" ref="A96:D107">+A59</f>
        <v>Hannover Life Re</v>
      </c>
      <c r="B96" s="105">
        <f t="shared" si="39"/>
        <v>18966</v>
      </c>
      <c r="C96" s="105">
        <f t="shared" si="39"/>
        <v>3971</v>
      </c>
      <c r="D96" s="105">
        <f t="shared" si="39"/>
        <v>0</v>
      </c>
      <c r="E96" s="92">
        <f aca="true" t="shared" si="40" ref="E96:E107">+D96+C96+B96</f>
        <v>22937</v>
      </c>
      <c r="F96" s="105">
        <f t="shared" si="38"/>
        <v>3155</v>
      </c>
      <c r="G96" s="105">
        <f t="shared" si="38"/>
        <v>12924</v>
      </c>
      <c r="H96" s="105">
        <f t="shared" si="38"/>
        <v>0</v>
      </c>
      <c r="I96" s="92">
        <f aca="true" t="shared" si="41" ref="I96:I107">+F96+G96+H96</f>
        <v>16079</v>
      </c>
      <c r="J96" s="91">
        <f aca="true" t="shared" si="42" ref="J96:J107">+F59</f>
        <v>20073</v>
      </c>
      <c r="K96" s="104">
        <f aca="true" t="shared" si="43" ref="K96:K107">+G59</f>
        <v>15693</v>
      </c>
      <c r="L96" s="104">
        <f aca="true" t="shared" si="44" ref="L96:L107">+H59</f>
        <v>0</v>
      </c>
      <c r="M96" s="103">
        <f aca="true" t="shared" si="45" ref="M96:M107">+L96+K96+J96</f>
        <v>35766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</row>
    <row r="97" spans="1:13" ht="15.75" customHeight="1">
      <c r="A97" s="34" t="str">
        <f t="shared" si="39"/>
        <v>ING Re</v>
      </c>
      <c r="B97" s="71">
        <f t="shared" si="39"/>
        <v>268534</v>
      </c>
      <c r="C97" s="71">
        <f t="shared" si="39"/>
        <v>19864</v>
      </c>
      <c r="D97" s="71">
        <f t="shared" si="39"/>
        <v>1039</v>
      </c>
      <c r="E97" s="36">
        <f t="shared" si="40"/>
        <v>289437</v>
      </c>
      <c r="F97" s="71">
        <f t="shared" si="38"/>
        <v>93584</v>
      </c>
      <c r="G97" s="71">
        <f t="shared" si="38"/>
        <v>0</v>
      </c>
      <c r="H97" s="71">
        <f t="shared" si="38"/>
        <v>4</v>
      </c>
      <c r="I97" s="36">
        <f t="shared" si="41"/>
        <v>93588</v>
      </c>
      <c r="J97" s="35">
        <f t="shared" si="42"/>
        <v>327083</v>
      </c>
      <c r="K97" s="84">
        <f t="shared" si="43"/>
        <v>18884</v>
      </c>
      <c r="L97" s="84">
        <f t="shared" si="44"/>
        <v>867</v>
      </c>
      <c r="M97" s="37">
        <f t="shared" si="45"/>
        <v>346834</v>
      </c>
    </row>
    <row r="98" spans="1:86" s="72" customFormat="1" ht="15.75" customHeight="1">
      <c r="A98" s="90" t="str">
        <f t="shared" si="39"/>
        <v>Lincoln Re</v>
      </c>
      <c r="B98" s="105">
        <f t="shared" si="39"/>
        <v>400975</v>
      </c>
      <c r="C98" s="105">
        <f t="shared" si="39"/>
        <v>41824</v>
      </c>
      <c r="D98" s="105">
        <f t="shared" si="39"/>
        <v>0</v>
      </c>
      <c r="E98" s="92">
        <f t="shared" si="40"/>
        <v>442799</v>
      </c>
      <c r="F98" s="114" t="str">
        <f t="shared" si="38"/>
        <v>Acquired by Swiss Re</v>
      </c>
      <c r="G98" s="115"/>
      <c r="H98" s="115"/>
      <c r="I98" s="116"/>
      <c r="J98" s="114" t="str">
        <f t="shared" si="42"/>
        <v>Acquired by Swiss Re</v>
      </c>
      <c r="K98" s="115"/>
      <c r="L98" s="115"/>
      <c r="M98" s="117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</row>
    <row r="99" spans="1:13" ht="15.75" customHeight="1">
      <c r="A99" s="34" t="str">
        <f t="shared" si="39"/>
        <v>Manufacturers Life</v>
      </c>
      <c r="B99" s="71">
        <f t="shared" si="39"/>
        <v>0</v>
      </c>
      <c r="C99" s="71">
        <f t="shared" si="39"/>
        <v>6501</v>
      </c>
      <c r="D99" s="71">
        <f t="shared" si="39"/>
        <v>97122</v>
      </c>
      <c r="E99" s="36">
        <f t="shared" si="40"/>
        <v>103623</v>
      </c>
      <c r="F99" s="71">
        <f t="shared" si="38"/>
        <v>0</v>
      </c>
      <c r="G99" s="71">
        <f t="shared" si="38"/>
        <v>39</v>
      </c>
      <c r="H99" s="71">
        <f t="shared" si="38"/>
        <v>11472</v>
      </c>
      <c r="I99" s="36">
        <f t="shared" si="41"/>
        <v>11511</v>
      </c>
      <c r="J99" s="35">
        <f t="shared" si="42"/>
        <v>0</v>
      </c>
      <c r="K99" s="84">
        <f t="shared" si="43"/>
        <v>5990</v>
      </c>
      <c r="L99" s="84">
        <f t="shared" si="44"/>
        <v>93978</v>
      </c>
      <c r="M99" s="37">
        <f t="shared" si="45"/>
        <v>99968</v>
      </c>
    </row>
    <row r="100" spans="1:86" s="72" customFormat="1" ht="15.75" customHeight="1">
      <c r="A100" s="90" t="str">
        <f t="shared" si="39"/>
        <v>Munich American Re</v>
      </c>
      <c r="B100" s="105">
        <f t="shared" si="39"/>
        <v>270310</v>
      </c>
      <c r="C100" s="105">
        <f t="shared" si="39"/>
        <v>14464</v>
      </c>
      <c r="D100" s="105">
        <f t="shared" si="39"/>
        <v>20040</v>
      </c>
      <c r="E100" s="92">
        <f t="shared" si="40"/>
        <v>304814</v>
      </c>
      <c r="F100" s="105">
        <f t="shared" si="38"/>
        <v>103679</v>
      </c>
      <c r="G100" s="105">
        <f t="shared" si="38"/>
        <v>6122</v>
      </c>
      <c r="H100" s="105">
        <f t="shared" si="38"/>
        <v>680</v>
      </c>
      <c r="I100" s="92">
        <f t="shared" si="41"/>
        <v>110481</v>
      </c>
      <c r="J100" s="91">
        <f t="shared" si="42"/>
        <v>344587</v>
      </c>
      <c r="K100" s="104">
        <f t="shared" si="43"/>
        <v>19542</v>
      </c>
      <c r="L100" s="104">
        <f t="shared" si="44"/>
        <v>18476</v>
      </c>
      <c r="M100" s="103">
        <f t="shared" si="45"/>
        <v>382605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</row>
    <row r="101" spans="1:13" ht="15.75" customHeight="1">
      <c r="A101" s="34" t="str">
        <f t="shared" si="39"/>
        <v>Optimum Re (CAN)</v>
      </c>
      <c r="B101" s="71">
        <f t="shared" si="39"/>
        <v>0</v>
      </c>
      <c r="C101" s="71">
        <f t="shared" si="39"/>
        <v>0</v>
      </c>
      <c r="D101" s="71">
        <f t="shared" si="39"/>
        <v>39</v>
      </c>
      <c r="E101" s="36">
        <f t="shared" si="40"/>
        <v>39</v>
      </c>
      <c r="F101" s="71">
        <f t="shared" si="38"/>
        <v>0</v>
      </c>
      <c r="G101" s="71">
        <f t="shared" si="38"/>
        <v>0</v>
      </c>
      <c r="H101" s="71">
        <f t="shared" si="38"/>
        <v>0</v>
      </c>
      <c r="I101" s="36">
        <f t="shared" si="41"/>
        <v>0</v>
      </c>
      <c r="J101" s="35">
        <f t="shared" si="42"/>
        <v>0</v>
      </c>
      <c r="K101" s="84">
        <f t="shared" si="43"/>
        <v>0</v>
      </c>
      <c r="L101" s="84">
        <f t="shared" si="44"/>
        <v>28</v>
      </c>
      <c r="M101" s="37">
        <f t="shared" si="45"/>
        <v>28</v>
      </c>
    </row>
    <row r="102" spans="1:86" s="72" customFormat="1" ht="15.75" customHeight="1">
      <c r="A102" s="90" t="str">
        <f t="shared" si="39"/>
        <v>Optimum Re (US)</v>
      </c>
      <c r="B102" s="105">
        <f t="shared" si="39"/>
        <v>5023</v>
      </c>
      <c r="C102" s="105">
        <f t="shared" si="39"/>
        <v>2786</v>
      </c>
      <c r="D102" s="105">
        <f t="shared" si="39"/>
        <v>1295</v>
      </c>
      <c r="E102" s="92">
        <f t="shared" si="40"/>
        <v>9104</v>
      </c>
      <c r="F102" s="105">
        <f t="shared" si="38"/>
        <v>1301</v>
      </c>
      <c r="G102" s="105">
        <f t="shared" si="38"/>
        <v>0</v>
      </c>
      <c r="H102" s="105">
        <f t="shared" si="38"/>
        <v>173</v>
      </c>
      <c r="I102" s="92">
        <f t="shared" si="41"/>
        <v>1474</v>
      </c>
      <c r="J102" s="91">
        <f t="shared" si="42"/>
        <v>5364</v>
      </c>
      <c r="K102" s="104">
        <f t="shared" si="43"/>
        <v>2491</v>
      </c>
      <c r="L102" s="104">
        <f t="shared" si="44"/>
        <v>1227</v>
      </c>
      <c r="M102" s="103">
        <f t="shared" si="45"/>
        <v>9082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</row>
    <row r="103" spans="1:13" ht="15.75" customHeight="1">
      <c r="A103" s="34" t="str">
        <f t="shared" si="39"/>
        <v>RGA</v>
      </c>
      <c r="B103" s="71">
        <f t="shared" si="39"/>
        <v>345232</v>
      </c>
      <c r="C103" s="71">
        <f t="shared" si="39"/>
        <v>68155</v>
      </c>
      <c r="D103" s="71">
        <f t="shared" si="39"/>
        <v>0</v>
      </c>
      <c r="E103" s="36">
        <f t="shared" si="40"/>
        <v>413387</v>
      </c>
      <c r="F103" s="71">
        <f t="shared" si="38"/>
        <v>112746</v>
      </c>
      <c r="G103" s="71">
        <f t="shared" si="38"/>
        <v>20682</v>
      </c>
      <c r="H103" s="71">
        <f t="shared" si="38"/>
        <v>0</v>
      </c>
      <c r="I103" s="36">
        <f t="shared" si="41"/>
        <v>133428</v>
      </c>
      <c r="J103" s="35">
        <f t="shared" si="42"/>
        <v>424434</v>
      </c>
      <c r="K103" s="84">
        <f t="shared" si="43"/>
        <v>81490</v>
      </c>
      <c r="L103" s="84">
        <f t="shared" si="44"/>
        <v>0</v>
      </c>
      <c r="M103" s="37">
        <f t="shared" si="45"/>
        <v>505924</v>
      </c>
    </row>
    <row r="104" spans="1:86" s="72" customFormat="1" ht="15.75" customHeight="1">
      <c r="A104" s="90" t="str">
        <f t="shared" si="39"/>
        <v>SCOR Life Re</v>
      </c>
      <c r="B104" s="105">
        <f t="shared" si="39"/>
        <v>3324</v>
      </c>
      <c r="C104" s="105">
        <f t="shared" si="39"/>
        <v>1774</v>
      </c>
      <c r="D104" s="105">
        <f t="shared" si="39"/>
        <v>160</v>
      </c>
      <c r="E104" s="92">
        <f t="shared" si="40"/>
        <v>5258</v>
      </c>
      <c r="F104" s="98" t="str">
        <f t="shared" si="38"/>
        <v>DNR</v>
      </c>
      <c r="G104" s="98" t="str">
        <f t="shared" si="38"/>
        <v>DNR</v>
      </c>
      <c r="H104" s="98" t="str">
        <f t="shared" si="38"/>
        <v>DNR</v>
      </c>
      <c r="I104" s="99" t="s">
        <v>76</v>
      </c>
      <c r="J104" s="98" t="str">
        <f t="shared" si="42"/>
        <v>DNR</v>
      </c>
      <c r="K104" s="98" t="str">
        <f t="shared" si="43"/>
        <v>DNR</v>
      </c>
      <c r="L104" s="98" t="str">
        <f t="shared" si="44"/>
        <v>DNR</v>
      </c>
      <c r="M104" s="106" t="s">
        <v>76</v>
      </c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</row>
    <row r="105" spans="1:13" ht="15.75" customHeight="1">
      <c r="A105" s="34" t="str">
        <f t="shared" si="39"/>
        <v>Scottish Re (US)</v>
      </c>
      <c r="B105" s="71">
        <f t="shared" si="39"/>
        <v>5037</v>
      </c>
      <c r="C105" s="71">
        <f t="shared" si="39"/>
        <v>0</v>
      </c>
      <c r="D105" s="71">
        <f t="shared" si="39"/>
        <v>6183</v>
      </c>
      <c r="E105" s="36">
        <f t="shared" si="40"/>
        <v>11220</v>
      </c>
      <c r="F105" s="71">
        <f t="shared" si="38"/>
        <v>26045</v>
      </c>
      <c r="G105" s="71">
        <f t="shared" si="38"/>
        <v>319</v>
      </c>
      <c r="H105" s="71">
        <f t="shared" si="38"/>
        <v>0</v>
      </c>
      <c r="I105" s="36">
        <f t="shared" si="41"/>
        <v>26364</v>
      </c>
      <c r="J105" s="35">
        <f t="shared" si="42"/>
        <v>28881</v>
      </c>
      <c r="K105" s="84">
        <f t="shared" si="43"/>
        <v>296</v>
      </c>
      <c r="L105" s="84">
        <f t="shared" si="44"/>
        <v>5652</v>
      </c>
      <c r="M105" s="37">
        <f t="shared" si="45"/>
        <v>34829</v>
      </c>
    </row>
    <row r="106" spans="1:86" s="72" customFormat="1" ht="15.75" customHeight="1">
      <c r="A106" s="90" t="str">
        <f t="shared" si="39"/>
        <v>Swiss Re*</v>
      </c>
      <c r="B106" s="105">
        <f t="shared" si="39"/>
        <v>565676</v>
      </c>
      <c r="C106" s="105">
        <f t="shared" si="39"/>
        <v>120592</v>
      </c>
      <c r="D106" s="105">
        <f t="shared" si="39"/>
        <v>0</v>
      </c>
      <c r="E106" s="92">
        <f t="shared" si="40"/>
        <v>686268</v>
      </c>
      <c r="F106" s="105">
        <f aca="true" t="shared" si="46" ref="F106:H107">+F32</f>
        <v>246466</v>
      </c>
      <c r="G106" s="105">
        <f t="shared" si="46"/>
        <v>493335</v>
      </c>
      <c r="H106" s="105">
        <f t="shared" si="46"/>
        <v>0</v>
      </c>
      <c r="I106" s="92">
        <f t="shared" si="41"/>
        <v>739801</v>
      </c>
      <c r="J106" s="91">
        <f t="shared" si="42"/>
        <v>652283</v>
      </c>
      <c r="K106" s="104">
        <f t="shared" si="43"/>
        <v>599838</v>
      </c>
      <c r="L106" s="104">
        <f t="shared" si="44"/>
        <v>0</v>
      </c>
      <c r="M106" s="103">
        <f t="shared" si="45"/>
        <v>1252121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</row>
    <row r="107" spans="1:13" ht="15.75" customHeight="1" thickBot="1">
      <c r="A107" s="34" t="str">
        <f t="shared" si="39"/>
        <v>Transamerica Re</v>
      </c>
      <c r="B107" s="71">
        <f t="shared" si="39"/>
        <v>362758</v>
      </c>
      <c r="C107" s="71">
        <f t="shared" si="39"/>
        <v>0</v>
      </c>
      <c r="D107" s="71">
        <f t="shared" si="39"/>
        <v>0</v>
      </c>
      <c r="E107" s="36">
        <f t="shared" si="40"/>
        <v>362758</v>
      </c>
      <c r="F107" s="71">
        <f t="shared" si="46"/>
        <v>85662</v>
      </c>
      <c r="G107" s="71">
        <f t="shared" si="46"/>
        <v>0</v>
      </c>
      <c r="H107" s="71">
        <f t="shared" si="46"/>
        <v>0</v>
      </c>
      <c r="I107" s="36">
        <f t="shared" si="41"/>
        <v>85662</v>
      </c>
      <c r="J107" s="35">
        <f t="shared" si="42"/>
        <v>389936</v>
      </c>
      <c r="K107" s="84">
        <f t="shared" si="43"/>
        <v>0</v>
      </c>
      <c r="L107" s="84">
        <f t="shared" si="44"/>
        <v>0</v>
      </c>
      <c r="M107" s="37">
        <f t="shared" si="45"/>
        <v>389936</v>
      </c>
    </row>
    <row r="108" spans="1:13" ht="15.75" customHeight="1" thickBot="1">
      <c r="A108" s="20" t="s">
        <v>22</v>
      </c>
      <c r="B108" s="21">
        <f aca="true" t="shared" si="47" ref="B108:M108">SUM(B85:B107)</f>
        <v>3274157.6</v>
      </c>
      <c r="C108" s="21">
        <f t="shared" si="47"/>
        <v>364337</v>
      </c>
      <c r="D108" s="21">
        <f t="shared" si="47"/>
        <v>253441.9</v>
      </c>
      <c r="E108" s="22">
        <f t="shared" si="47"/>
        <v>3891936.5</v>
      </c>
      <c r="F108" s="21">
        <f t="shared" si="47"/>
        <v>933101</v>
      </c>
      <c r="G108" s="21">
        <f t="shared" si="47"/>
        <v>569066</v>
      </c>
      <c r="H108" s="21">
        <f t="shared" si="47"/>
        <v>25141</v>
      </c>
      <c r="I108" s="22">
        <f t="shared" si="47"/>
        <v>1527308</v>
      </c>
      <c r="J108" s="21">
        <f t="shared" si="47"/>
        <v>3350669</v>
      </c>
      <c r="K108" s="21">
        <f t="shared" si="47"/>
        <v>864448</v>
      </c>
      <c r="L108" s="21">
        <f t="shared" si="47"/>
        <v>245761</v>
      </c>
      <c r="M108" s="29">
        <f t="shared" si="47"/>
        <v>4460878</v>
      </c>
    </row>
    <row r="109" spans="1:13" ht="15.75" customHeight="1">
      <c r="A109" s="1" t="s">
        <v>65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8" ht="15.75" customHeight="1">
      <c r="A110" s="1" t="str">
        <f>+A73</f>
        <v>* 2001 Ordinary Portfolio Amount includes $470,093 of inforce assumed from Lincoln Re.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5"/>
      <c r="O110" s="5"/>
      <c r="P110" s="5"/>
      <c r="Q110" s="5"/>
      <c r="R110" s="5"/>
    </row>
    <row r="111" spans="1:18" ht="15.75" customHeight="1">
      <c r="A111" s="30" t="str">
        <f>+A74</f>
        <v>Canadian Exchange Rate Used: 2000 = .6631 and 2001 = .6221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</sheetData>
  <sheetProtection/>
  <mergeCells count="4">
    <mergeCell ref="F98:I98"/>
    <mergeCell ref="J98:M98"/>
    <mergeCell ref="F24:I24"/>
    <mergeCell ref="F61:I61"/>
  </mergeCells>
  <printOptions/>
  <pageMargins left="0.75" right="0.75" top="0.75" bottom="0.75" header="0.5" footer="0.5"/>
  <pageSetup fitToHeight="0" fitToWidth="1" horizontalDpi="600" verticalDpi="600" orientation="landscape" scale="59" r:id="rId1"/>
  <rowBreaks count="2" manualBreakCount="2">
    <brk id="38" max="255" man="1"/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97"/>
  <sheetViews>
    <sheetView view="pageBreakPreview" zoomScale="60" zoomScalePageLayoutView="0" workbookViewId="0" topLeftCell="B86">
      <selection activeCell="G3" sqref="G3"/>
    </sheetView>
  </sheetViews>
  <sheetFormatPr defaultColWidth="9.140625" defaultRowHeight="15.75" customHeight="1"/>
  <cols>
    <col min="1" max="1" width="29.140625" style="0" customWidth="1"/>
    <col min="2" max="2" width="14.140625" style="0" customWidth="1"/>
    <col min="3" max="4" width="9.28125" style="0" bestFit="1" customWidth="1"/>
    <col min="5" max="6" width="9.421875" style="0" bestFit="1" customWidth="1"/>
    <col min="7" max="7" width="9.8515625" style="0" bestFit="1" customWidth="1"/>
    <col min="8" max="8" width="10.28125" style="0" bestFit="1" customWidth="1"/>
    <col min="9" max="9" width="9.421875" style="0" bestFit="1" customWidth="1"/>
    <col min="10" max="10" width="11.8515625" style="0" bestFit="1" customWidth="1"/>
    <col min="11" max="18" width="9.8515625" style="0" bestFit="1" customWidth="1"/>
  </cols>
  <sheetData>
    <row r="1" spans="1:18" ht="15.75" customHeight="1">
      <c r="A1" s="1" t="s">
        <v>0</v>
      </c>
      <c r="B1" s="1" t="str">
        <f>+'usord '!B1</f>
        <v>resurvey 2001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>
      <c r="A2" s="1" t="s">
        <v>1</v>
      </c>
      <c r="B2" s="70">
        <f>+'usord '!B2</f>
        <v>37375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customHeight="1">
      <c r="A4" s="1"/>
      <c r="B4" s="1"/>
      <c r="C4" s="4" t="s">
        <v>79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</row>
    <row r="7" spans="1:18" ht="15.75" customHeight="1">
      <c r="A7" s="47"/>
      <c r="B7" s="48"/>
      <c r="C7" s="48"/>
      <c r="D7" s="48" t="s">
        <v>46</v>
      </c>
      <c r="E7" s="48"/>
      <c r="F7" s="48"/>
      <c r="G7" s="48"/>
      <c r="H7" s="48"/>
      <c r="I7" s="48"/>
      <c r="J7" s="49"/>
      <c r="K7" s="48"/>
      <c r="L7" s="48"/>
      <c r="M7" s="48" t="s">
        <v>9</v>
      </c>
      <c r="N7" s="48"/>
      <c r="O7" s="48"/>
      <c r="P7" s="48"/>
      <c r="Q7" s="48"/>
      <c r="R7" s="50"/>
    </row>
    <row r="8" spans="1:18" ht="15.75" customHeight="1">
      <c r="A8" s="51"/>
      <c r="B8" s="48"/>
      <c r="C8" s="48">
        <v>2000</v>
      </c>
      <c r="D8" s="48"/>
      <c r="E8" s="52"/>
      <c r="F8" s="48"/>
      <c r="G8" s="48">
        <v>2001</v>
      </c>
      <c r="H8" s="48"/>
      <c r="I8" s="52"/>
      <c r="J8" s="53" t="s">
        <v>7</v>
      </c>
      <c r="K8" s="48"/>
      <c r="L8" s="48">
        <f>+C8</f>
        <v>2000</v>
      </c>
      <c r="M8" s="48"/>
      <c r="N8" s="52"/>
      <c r="O8" s="48"/>
      <c r="P8" s="48">
        <f>+G8</f>
        <v>2001</v>
      </c>
      <c r="Q8" s="48"/>
      <c r="R8" s="50"/>
    </row>
    <row r="9" spans="1:18" ht="15.75" customHeight="1" thickBot="1">
      <c r="A9" s="54" t="s">
        <v>2</v>
      </c>
      <c r="B9" s="57" t="s">
        <v>3</v>
      </c>
      <c r="C9" s="57" t="s">
        <v>4</v>
      </c>
      <c r="D9" s="57" t="s">
        <v>5</v>
      </c>
      <c r="E9" s="58" t="s">
        <v>6</v>
      </c>
      <c r="F9" s="57" t="s">
        <v>3</v>
      </c>
      <c r="G9" s="57" t="s">
        <v>4</v>
      </c>
      <c r="H9" s="57" t="s">
        <v>5</v>
      </c>
      <c r="I9" s="58" t="s">
        <v>6</v>
      </c>
      <c r="J9" s="59" t="s">
        <v>8</v>
      </c>
      <c r="K9" s="57" t="s">
        <v>3</v>
      </c>
      <c r="L9" s="57" t="s">
        <v>4</v>
      </c>
      <c r="M9" s="57" t="s">
        <v>5</v>
      </c>
      <c r="N9" s="58" t="s">
        <v>6</v>
      </c>
      <c r="O9" s="57" t="s">
        <v>3</v>
      </c>
      <c r="P9" s="57" t="s">
        <v>4</v>
      </c>
      <c r="Q9" s="57" t="s">
        <v>5</v>
      </c>
      <c r="R9" s="60" t="s">
        <v>6</v>
      </c>
    </row>
    <row r="10" spans="1:18" ht="15.75" customHeight="1" thickTop="1">
      <c r="A10" s="34"/>
      <c r="B10" s="74"/>
      <c r="C10" s="74"/>
      <c r="D10" s="74"/>
      <c r="E10" s="75"/>
      <c r="F10" s="74"/>
      <c r="G10" s="74"/>
      <c r="H10" s="74"/>
      <c r="I10" s="75"/>
      <c r="J10" s="85"/>
      <c r="K10" s="74"/>
      <c r="L10" s="74"/>
      <c r="M10" s="74"/>
      <c r="N10" s="86"/>
      <c r="O10" s="74"/>
      <c r="P10" s="74"/>
      <c r="Q10" s="74"/>
      <c r="R10" s="87"/>
    </row>
    <row r="11" spans="1:18" ht="15.75" customHeight="1">
      <c r="A11" s="90" t="s">
        <v>10</v>
      </c>
      <c r="B11" s="91">
        <v>0</v>
      </c>
      <c r="C11" s="91">
        <v>0</v>
      </c>
      <c r="D11" s="91">
        <v>0</v>
      </c>
      <c r="E11" s="92">
        <f>+D11+C11+B11</f>
        <v>0</v>
      </c>
      <c r="F11" s="91">
        <v>0</v>
      </c>
      <c r="G11" s="91">
        <v>0</v>
      </c>
      <c r="H11" s="91">
        <v>0</v>
      </c>
      <c r="I11" s="92">
        <f>+H11+G11+F11</f>
        <v>0</v>
      </c>
      <c r="J11" s="93">
        <f>IF(+E11&gt;0,(+I11-E11)/E11,0)</f>
        <v>0</v>
      </c>
      <c r="K11" s="94">
        <f aca="true" t="shared" si="0" ref="K11:K26">+B11/$B$27</f>
        <v>0</v>
      </c>
      <c r="L11" s="94">
        <f aca="true" t="shared" si="1" ref="L11:L26">+C11/$C$27</f>
        <v>0</v>
      </c>
      <c r="M11" s="94">
        <f aca="true" t="shared" si="2" ref="M11:M26">+D11/$D$27</f>
        <v>0</v>
      </c>
      <c r="N11" s="95">
        <f aca="true" t="shared" si="3" ref="N11:N26">+E11/$E$27</f>
        <v>0</v>
      </c>
      <c r="O11" s="94">
        <f>+F11/$F$27</f>
        <v>0</v>
      </c>
      <c r="P11" s="94">
        <f aca="true" t="shared" si="4" ref="P11:P26">+G11/$G$27</f>
        <v>0</v>
      </c>
      <c r="Q11" s="94">
        <f aca="true" t="shared" si="5" ref="Q11:Q26">+H11/$H$27</f>
        <v>0</v>
      </c>
      <c r="R11" s="96">
        <f aca="true" t="shared" si="6" ref="R11:R26">+I11/$I$27</f>
        <v>0</v>
      </c>
    </row>
    <row r="12" spans="1:18" ht="15.75" customHeight="1">
      <c r="A12" s="34" t="s">
        <v>54</v>
      </c>
      <c r="B12" s="35">
        <v>143.8</v>
      </c>
      <c r="C12" s="35">
        <v>0</v>
      </c>
      <c r="D12" s="35">
        <v>16.8</v>
      </c>
      <c r="E12" s="36">
        <f>+D12+C12+B12</f>
        <v>160.60000000000002</v>
      </c>
      <c r="F12" s="35">
        <v>0</v>
      </c>
      <c r="G12" s="35">
        <v>0</v>
      </c>
      <c r="H12" s="35">
        <v>6</v>
      </c>
      <c r="I12" s="36">
        <f>+H12+G12+F12</f>
        <v>6</v>
      </c>
      <c r="J12" s="38">
        <f>IF(+E12&gt;0,(+I12-E12)/E12,0)</f>
        <v>-0.962640099626401</v>
      </c>
      <c r="K12" s="39">
        <f t="shared" si="0"/>
        <v>0.002774639976618777</v>
      </c>
      <c r="L12" s="39">
        <f t="shared" si="1"/>
        <v>0</v>
      </c>
      <c r="M12" s="39">
        <f t="shared" si="2"/>
        <v>0.022820533753267376</v>
      </c>
      <c r="N12" s="40">
        <f t="shared" si="3"/>
        <v>0.002479133089702061</v>
      </c>
      <c r="O12" s="39">
        <f>+F12/$F$27</f>
        <v>0</v>
      </c>
      <c r="P12" s="39">
        <f t="shared" si="4"/>
        <v>0</v>
      </c>
      <c r="Q12" s="39">
        <f t="shared" si="5"/>
        <v>0.004193242798891725</v>
      </c>
      <c r="R12" s="41">
        <f t="shared" si="6"/>
        <v>6.252547841601675E-05</v>
      </c>
    </row>
    <row r="13" spans="1:18" ht="15.75" customHeight="1">
      <c r="A13" s="90" t="s">
        <v>83</v>
      </c>
      <c r="B13" s="91">
        <v>0</v>
      </c>
      <c r="C13" s="91">
        <v>0</v>
      </c>
      <c r="D13" s="91">
        <v>0</v>
      </c>
      <c r="E13" s="92">
        <f>+D13+C13+B13</f>
        <v>0</v>
      </c>
      <c r="F13" s="91">
        <v>461</v>
      </c>
      <c r="G13" s="91">
        <v>0</v>
      </c>
      <c r="H13" s="91">
        <v>0</v>
      </c>
      <c r="I13" s="36">
        <f>+H13+G13+F13</f>
        <v>461</v>
      </c>
      <c r="J13" s="38">
        <f>IF(+E13&gt;0,(+I13-E13)/E13,0)</f>
        <v>0</v>
      </c>
      <c r="K13" s="94">
        <f>+B13/$B$27</f>
        <v>0</v>
      </c>
      <c r="L13" s="94">
        <f>+C13/$C$27</f>
        <v>0</v>
      </c>
      <c r="M13" s="94">
        <f>+D13/$D$27</f>
        <v>0</v>
      </c>
      <c r="N13" s="95">
        <f>+E13/$E$27</f>
        <v>0</v>
      </c>
      <c r="O13" s="94">
        <f>+F13/$F$27</f>
        <v>0.00779018941397751</v>
      </c>
      <c r="P13" s="94">
        <f>+G13/$G$27</f>
        <v>0</v>
      </c>
      <c r="Q13" s="94">
        <f>+H13/$H$27</f>
        <v>0</v>
      </c>
      <c r="R13" s="96">
        <f>+I13/$I$27</f>
        <v>0.004804040924963954</v>
      </c>
    </row>
    <row r="14" spans="1:18" ht="15.75" customHeight="1">
      <c r="A14" s="34" t="s">
        <v>56</v>
      </c>
      <c r="B14" s="35">
        <v>0</v>
      </c>
      <c r="C14" s="35">
        <v>0</v>
      </c>
      <c r="D14" s="35">
        <f>0.6631*361</f>
        <v>239.3791</v>
      </c>
      <c r="E14" s="36">
        <f aca="true" t="shared" si="7" ref="E14:E19">+D14+C14+B14</f>
        <v>239.3791</v>
      </c>
      <c r="F14" s="35">
        <v>0</v>
      </c>
      <c r="G14" s="35">
        <v>0</v>
      </c>
      <c r="H14" s="35">
        <f>1035*0.6221</f>
        <v>643.8735</v>
      </c>
      <c r="I14" s="36">
        <f aca="true" t="shared" si="8" ref="I14:I26">+H14+G14+F14</f>
        <v>643.8735</v>
      </c>
      <c r="J14" s="38">
        <f aca="true" t="shared" si="9" ref="J14:J27">IF(+E14&gt;0,(+I14-E14)/E14,0)</f>
        <v>1.689764895932853</v>
      </c>
      <c r="K14" s="39">
        <f t="shared" si="0"/>
        <v>0</v>
      </c>
      <c r="L14" s="39">
        <f t="shared" si="1"/>
        <v>0</v>
      </c>
      <c r="M14" s="39">
        <f t="shared" si="2"/>
        <v>0.3251642161533789</v>
      </c>
      <c r="N14" s="40">
        <f t="shared" si="3"/>
        <v>0.0036952219663331167</v>
      </c>
      <c r="O14" s="39">
        <f aca="true" t="shared" si="10" ref="O14:O25">+F14/$F$27</f>
        <v>0</v>
      </c>
      <c r="P14" s="39">
        <f t="shared" si="4"/>
        <v>0</v>
      </c>
      <c r="Q14" s="39">
        <f t="shared" si="5"/>
        <v>0.4499863195453686</v>
      </c>
      <c r="R14" s="41">
        <f t="shared" si="6"/>
        <v>0.006709749771149194</v>
      </c>
    </row>
    <row r="15" spans="1:18" ht="15.75" customHeight="1">
      <c r="A15" s="90" t="s">
        <v>13</v>
      </c>
      <c r="B15" s="91">
        <v>0</v>
      </c>
      <c r="C15" s="91">
        <v>0</v>
      </c>
      <c r="D15" s="91">
        <v>62</v>
      </c>
      <c r="E15" s="92">
        <f t="shared" si="7"/>
        <v>62</v>
      </c>
      <c r="F15" s="91">
        <v>0</v>
      </c>
      <c r="G15" s="91">
        <v>0</v>
      </c>
      <c r="H15" s="91">
        <v>126</v>
      </c>
      <c r="I15" s="92">
        <f t="shared" si="8"/>
        <v>126</v>
      </c>
      <c r="J15" s="93">
        <f t="shared" si="9"/>
        <v>1.032258064516129</v>
      </c>
      <c r="K15" s="94">
        <f t="shared" si="0"/>
        <v>0</v>
      </c>
      <c r="L15" s="94">
        <f t="shared" si="1"/>
        <v>0</v>
      </c>
      <c r="M15" s="94">
        <f t="shared" si="2"/>
        <v>0.0842186364703915</v>
      </c>
      <c r="N15" s="95">
        <f t="shared" si="3"/>
        <v>0.0009570750408563372</v>
      </c>
      <c r="O15" s="94">
        <f t="shared" si="10"/>
        <v>0</v>
      </c>
      <c r="P15" s="94">
        <f t="shared" si="4"/>
        <v>0</v>
      </c>
      <c r="Q15" s="94">
        <f t="shared" si="5"/>
        <v>0.08805809877672624</v>
      </c>
      <c r="R15" s="96">
        <f t="shared" si="6"/>
        <v>0.001313035046736352</v>
      </c>
    </row>
    <row r="16" spans="1:18" ht="15.75" customHeight="1">
      <c r="A16" s="34" t="s">
        <v>55</v>
      </c>
      <c r="B16" s="35">
        <f>0.6631*5725</f>
        <v>3796.2475</v>
      </c>
      <c r="C16" s="35">
        <f>0.6631*10189</f>
        <v>6756.3259</v>
      </c>
      <c r="D16" s="35">
        <v>0</v>
      </c>
      <c r="E16" s="36">
        <f t="shared" si="7"/>
        <v>10552.5734</v>
      </c>
      <c r="F16" s="35">
        <f>0.6221*11872</f>
        <v>7385.571199999999</v>
      </c>
      <c r="G16" s="35">
        <f>0.6221*15927</f>
        <v>9908.1867</v>
      </c>
      <c r="H16" s="35">
        <v>0</v>
      </c>
      <c r="I16" s="36">
        <f t="shared" si="8"/>
        <v>17293.7579</v>
      </c>
      <c r="J16" s="38">
        <f t="shared" si="9"/>
        <v>0.6388190107258578</v>
      </c>
      <c r="K16" s="39">
        <f t="shared" si="0"/>
        <v>0.07324909648566821</v>
      </c>
      <c r="L16" s="39">
        <f t="shared" si="1"/>
        <v>0.5529819418281401</v>
      </c>
      <c r="M16" s="39">
        <f t="shared" si="2"/>
        <v>0</v>
      </c>
      <c r="N16" s="40">
        <f t="shared" si="3"/>
        <v>0.16289684867652415</v>
      </c>
      <c r="O16" s="39">
        <f t="shared" si="10"/>
        <v>0.12480476915057954</v>
      </c>
      <c r="P16" s="39">
        <f t="shared" si="4"/>
        <v>0.2802642822015117</v>
      </c>
      <c r="Q16" s="39">
        <f t="shared" si="5"/>
        <v>0</v>
      </c>
      <c r="R16" s="41">
        <f t="shared" si="6"/>
        <v>0.18021674771804488</v>
      </c>
    </row>
    <row r="17" spans="1:18" ht="15.75" customHeight="1">
      <c r="A17" s="90" t="s">
        <v>62</v>
      </c>
      <c r="B17" s="91">
        <v>6</v>
      </c>
      <c r="C17" s="91">
        <v>0</v>
      </c>
      <c r="D17" s="91">
        <v>0</v>
      </c>
      <c r="E17" s="92">
        <f t="shared" si="7"/>
        <v>6</v>
      </c>
      <c r="F17" s="91">
        <v>41</v>
      </c>
      <c r="G17" s="91">
        <v>0</v>
      </c>
      <c r="H17" s="91">
        <v>0</v>
      </c>
      <c r="I17" s="92">
        <f>+H17+G17+F17</f>
        <v>41</v>
      </c>
      <c r="J17" s="93">
        <f>IF(+E17&gt;0,(+I17-E17)/E17,0)</f>
        <v>5.833333333333333</v>
      </c>
      <c r="K17" s="94">
        <f t="shared" si="0"/>
        <v>0.00011577079179216037</v>
      </c>
      <c r="L17" s="94">
        <f t="shared" si="1"/>
        <v>0</v>
      </c>
      <c r="M17" s="94">
        <f t="shared" si="2"/>
        <v>0</v>
      </c>
      <c r="N17" s="95">
        <f t="shared" si="3"/>
        <v>9.262016524416166E-05</v>
      </c>
      <c r="O17" s="94">
        <f t="shared" si="10"/>
        <v>0.0006928368025446376</v>
      </c>
      <c r="P17" s="94">
        <f t="shared" si="4"/>
        <v>0</v>
      </c>
      <c r="Q17" s="94">
        <f t="shared" si="5"/>
        <v>0</v>
      </c>
      <c r="R17" s="96">
        <f t="shared" si="6"/>
        <v>0.00042725743584278114</v>
      </c>
    </row>
    <row r="18" spans="1:18" ht="15.75" customHeight="1">
      <c r="A18" s="34" t="s">
        <v>14</v>
      </c>
      <c r="B18" s="35">
        <v>1562</v>
      </c>
      <c r="C18" s="35">
        <v>0</v>
      </c>
      <c r="D18" s="35">
        <v>7</v>
      </c>
      <c r="E18" s="36">
        <f t="shared" si="7"/>
        <v>1569</v>
      </c>
      <c r="F18" s="35">
        <v>2094</v>
      </c>
      <c r="G18" s="35">
        <v>0</v>
      </c>
      <c r="H18" s="35">
        <v>6</v>
      </c>
      <c r="I18" s="36">
        <f t="shared" si="8"/>
        <v>2100</v>
      </c>
      <c r="J18" s="38">
        <f t="shared" si="9"/>
        <v>0.3384321223709369</v>
      </c>
      <c r="K18" s="39">
        <f t="shared" si="0"/>
        <v>0.030138996129892414</v>
      </c>
      <c r="L18" s="39">
        <f t="shared" si="1"/>
        <v>0</v>
      </c>
      <c r="M18" s="39">
        <f t="shared" si="2"/>
        <v>0.009508555730528074</v>
      </c>
      <c r="N18" s="40">
        <f t="shared" si="3"/>
        <v>0.024220173211348277</v>
      </c>
      <c r="O18" s="39">
        <f t="shared" si="10"/>
        <v>0.03538537230557246</v>
      </c>
      <c r="P18" s="39">
        <f t="shared" si="4"/>
        <v>0</v>
      </c>
      <c r="Q18" s="39">
        <f t="shared" si="5"/>
        <v>0.004193242798891725</v>
      </c>
      <c r="R18" s="41">
        <f t="shared" si="6"/>
        <v>0.021883917445605864</v>
      </c>
    </row>
    <row r="19" spans="1:18" ht="17.25" customHeight="1">
      <c r="A19" s="90" t="s">
        <v>58</v>
      </c>
      <c r="B19" s="91">
        <v>2</v>
      </c>
      <c r="C19" s="91">
        <v>0</v>
      </c>
      <c r="D19" s="91">
        <v>0</v>
      </c>
      <c r="E19" s="92">
        <f t="shared" si="7"/>
        <v>2</v>
      </c>
      <c r="F19" s="91">
        <v>1</v>
      </c>
      <c r="G19" s="91">
        <v>0</v>
      </c>
      <c r="H19" s="91">
        <v>0</v>
      </c>
      <c r="I19" s="92">
        <f>+H19+G19+F19</f>
        <v>1</v>
      </c>
      <c r="J19" s="93">
        <f t="shared" si="9"/>
        <v>-0.5</v>
      </c>
      <c r="K19" s="94">
        <f t="shared" si="0"/>
        <v>3.859026393072012E-05</v>
      </c>
      <c r="L19" s="94">
        <f t="shared" si="1"/>
        <v>0</v>
      </c>
      <c r="M19" s="94">
        <f t="shared" si="2"/>
        <v>0</v>
      </c>
      <c r="N19" s="95">
        <f t="shared" si="3"/>
        <v>3.0873388414720554E-05</v>
      </c>
      <c r="O19" s="94">
        <f t="shared" si="10"/>
        <v>1.6898458598649696E-05</v>
      </c>
      <c r="P19" s="94">
        <f t="shared" si="4"/>
        <v>0</v>
      </c>
      <c r="Q19" s="94">
        <f t="shared" si="5"/>
        <v>0</v>
      </c>
      <c r="R19" s="96">
        <f t="shared" si="6"/>
        <v>1.0420913069336126E-05</v>
      </c>
    </row>
    <row r="20" spans="1:18" ht="15.75" customHeight="1">
      <c r="A20" s="34" t="s">
        <v>33</v>
      </c>
      <c r="B20" s="35">
        <v>6063</v>
      </c>
      <c r="C20" s="35">
        <v>0</v>
      </c>
      <c r="D20" s="35">
        <v>0</v>
      </c>
      <c r="E20" s="36">
        <f aca="true" t="shared" si="11" ref="E20:E25">+D20+C20+B20</f>
        <v>6063</v>
      </c>
      <c r="F20" s="118" t="s">
        <v>71</v>
      </c>
      <c r="G20" s="119"/>
      <c r="H20" s="119"/>
      <c r="I20" s="120"/>
      <c r="J20" s="38">
        <v>0</v>
      </c>
      <c r="K20" s="39">
        <f t="shared" si="0"/>
        <v>0.11698638510597806</v>
      </c>
      <c r="L20" s="39">
        <f t="shared" si="1"/>
        <v>0</v>
      </c>
      <c r="M20" s="39">
        <f t="shared" si="2"/>
        <v>0</v>
      </c>
      <c r="N20" s="40">
        <f t="shared" si="3"/>
        <v>0.09359267697922537</v>
      </c>
      <c r="O20" s="39">
        <v>0</v>
      </c>
      <c r="P20" s="39">
        <f t="shared" si="4"/>
        <v>0</v>
      </c>
      <c r="Q20" s="39">
        <f t="shared" si="5"/>
        <v>0</v>
      </c>
      <c r="R20" s="41">
        <f t="shared" si="6"/>
        <v>0</v>
      </c>
    </row>
    <row r="21" spans="1:18" ht="15.75" customHeight="1">
      <c r="A21" s="90" t="s">
        <v>16</v>
      </c>
      <c r="B21" s="91">
        <v>0</v>
      </c>
      <c r="C21" s="91">
        <v>7</v>
      </c>
      <c r="D21" s="91">
        <v>411</v>
      </c>
      <c r="E21" s="92">
        <f t="shared" si="11"/>
        <v>418</v>
      </c>
      <c r="F21" s="91">
        <v>0</v>
      </c>
      <c r="G21" s="91">
        <v>14</v>
      </c>
      <c r="H21" s="91">
        <v>649</v>
      </c>
      <c r="I21" s="92">
        <f t="shared" si="8"/>
        <v>663</v>
      </c>
      <c r="J21" s="93">
        <f t="shared" si="9"/>
        <v>0.5861244019138756</v>
      </c>
      <c r="K21" s="94">
        <f t="shared" si="0"/>
        <v>0</v>
      </c>
      <c r="L21" s="94">
        <f t="shared" si="1"/>
        <v>0.000572925825380475</v>
      </c>
      <c r="M21" s="94">
        <f t="shared" si="2"/>
        <v>0.558288057892434</v>
      </c>
      <c r="N21" s="95">
        <f t="shared" si="3"/>
        <v>0.006452538178676596</v>
      </c>
      <c r="O21" s="94">
        <f t="shared" si="10"/>
        <v>0</v>
      </c>
      <c r="P21" s="94">
        <f t="shared" si="4"/>
        <v>0.000396005855523611</v>
      </c>
      <c r="Q21" s="94">
        <f t="shared" si="5"/>
        <v>0.45356909608012164</v>
      </c>
      <c r="R21" s="96">
        <f t="shared" si="6"/>
        <v>0.006909065364969851</v>
      </c>
    </row>
    <row r="22" spans="1:18" ht="15.75" customHeight="1">
      <c r="A22" s="34" t="s">
        <v>34</v>
      </c>
      <c r="B22" s="35">
        <f>25033*0.6631</f>
        <v>16599.3823</v>
      </c>
      <c r="C22" s="35">
        <f>419*0.6631</f>
        <v>277.8389</v>
      </c>
      <c r="D22" s="35">
        <v>0</v>
      </c>
      <c r="E22" s="36">
        <f t="shared" si="11"/>
        <v>16877.2212</v>
      </c>
      <c r="F22" s="35">
        <f>33676*0.6221</f>
        <v>20949.8396</v>
      </c>
      <c r="G22" s="35">
        <v>0</v>
      </c>
      <c r="H22" s="35">
        <v>0</v>
      </c>
      <c r="I22" s="36">
        <f t="shared" si="8"/>
        <v>20949.8396</v>
      </c>
      <c r="J22" s="38">
        <f t="shared" si="9"/>
        <v>0.24130858698468677</v>
      </c>
      <c r="K22" s="39">
        <f t="shared" si="0"/>
        <v>0.32028727202196206</v>
      </c>
      <c r="L22" s="39">
        <f t="shared" si="1"/>
        <v>0.02274015444361475</v>
      </c>
      <c r="M22" s="39">
        <f t="shared" si="2"/>
        <v>0</v>
      </c>
      <c r="N22" s="40">
        <f t="shared" si="3"/>
        <v>0.26052850273437805</v>
      </c>
      <c r="O22" s="39">
        <f t="shared" si="10"/>
        <v>0.3540199971289519</v>
      </c>
      <c r="P22" s="39">
        <f t="shared" si="4"/>
        <v>0</v>
      </c>
      <c r="Q22" s="39">
        <f t="shared" si="5"/>
        <v>0</v>
      </c>
      <c r="R22" s="41">
        <f t="shared" si="6"/>
        <v>0.2183164572881355</v>
      </c>
    </row>
    <row r="23" spans="1:18" ht="15.75" customHeight="1">
      <c r="A23" s="90" t="s">
        <v>18</v>
      </c>
      <c r="B23" s="91">
        <f>0.6631*2084</f>
        <v>1381.9004</v>
      </c>
      <c r="C23" s="91">
        <v>0</v>
      </c>
      <c r="D23" s="91">
        <v>0</v>
      </c>
      <c r="E23" s="92">
        <f t="shared" si="11"/>
        <v>1381.9004</v>
      </c>
      <c r="F23" s="91">
        <f>2073*0.6221</f>
        <v>1289.6133</v>
      </c>
      <c r="G23" s="91">
        <v>0</v>
      </c>
      <c r="H23" s="91">
        <v>0</v>
      </c>
      <c r="I23" s="92">
        <f t="shared" si="8"/>
        <v>1289.6133</v>
      </c>
      <c r="J23" s="93">
        <f t="shared" si="9"/>
        <v>-0.06678274353202301</v>
      </c>
      <c r="K23" s="94">
        <f t="shared" si="0"/>
        <v>0.026663950580983854</v>
      </c>
      <c r="L23" s="94">
        <f t="shared" si="1"/>
        <v>0</v>
      </c>
      <c r="M23" s="94">
        <f t="shared" si="2"/>
        <v>0</v>
      </c>
      <c r="N23" s="95">
        <f t="shared" si="3"/>
        <v>0.02133197389982885</v>
      </c>
      <c r="O23" s="94">
        <f t="shared" si="10"/>
        <v>0.02179247695831801</v>
      </c>
      <c r="P23" s="94">
        <f t="shared" si="4"/>
        <v>0</v>
      </c>
      <c r="Q23" s="94">
        <f t="shared" si="5"/>
        <v>0</v>
      </c>
      <c r="R23" s="96">
        <f t="shared" si="6"/>
        <v>0.01343894809235969</v>
      </c>
    </row>
    <row r="24" spans="1:18" ht="15.75" customHeight="1">
      <c r="A24" s="34" t="s">
        <v>20</v>
      </c>
      <c r="B24" s="35">
        <v>2</v>
      </c>
      <c r="C24" s="35">
        <v>0</v>
      </c>
      <c r="D24" s="35">
        <v>0</v>
      </c>
      <c r="E24" s="36">
        <f t="shared" si="11"/>
        <v>2</v>
      </c>
      <c r="F24" s="35">
        <v>0</v>
      </c>
      <c r="G24" s="35">
        <v>0</v>
      </c>
      <c r="H24" s="35">
        <v>0</v>
      </c>
      <c r="I24" s="36">
        <f t="shared" si="8"/>
        <v>0</v>
      </c>
      <c r="J24" s="38">
        <f>IF(+E24&gt;0,(+I24-E24)/E24,0)</f>
        <v>-1</v>
      </c>
      <c r="K24" s="39">
        <f t="shared" si="0"/>
        <v>3.859026393072012E-05</v>
      </c>
      <c r="L24" s="39">
        <f t="shared" si="1"/>
        <v>0</v>
      </c>
      <c r="M24" s="39">
        <f t="shared" si="2"/>
        <v>0</v>
      </c>
      <c r="N24" s="40">
        <f t="shared" si="3"/>
        <v>3.0873388414720554E-05</v>
      </c>
      <c r="O24" s="39">
        <f t="shared" si="10"/>
        <v>0</v>
      </c>
      <c r="P24" s="39">
        <f t="shared" si="4"/>
        <v>0</v>
      </c>
      <c r="Q24" s="39">
        <f t="shared" si="5"/>
        <v>0</v>
      </c>
      <c r="R24" s="41">
        <f t="shared" si="6"/>
        <v>0</v>
      </c>
    </row>
    <row r="25" spans="1:18" ht="15.75" customHeight="1">
      <c r="A25" s="90" t="s">
        <v>37</v>
      </c>
      <c r="B25" s="91">
        <f>12726*0.6631</f>
        <v>8438.6106</v>
      </c>
      <c r="C25" s="91">
        <f>0.6631*7807</f>
        <v>5176.8217</v>
      </c>
      <c r="D25" s="91">
        <v>0</v>
      </c>
      <c r="E25" s="92">
        <f t="shared" si="11"/>
        <v>13615.4323</v>
      </c>
      <c r="F25" s="91">
        <f>0.6221*12729</f>
        <v>7918.7109</v>
      </c>
      <c r="G25" s="91">
        <f>0.6221*39</f>
        <v>24.2619</v>
      </c>
      <c r="H25" s="91">
        <v>0</v>
      </c>
      <c r="I25" s="92">
        <f t="shared" si="8"/>
        <v>7942.9728000000005</v>
      </c>
      <c r="J25" s="93">
        <f t="shared" si="9"/>
        <v>-0.4166198600980154</v>
      </c>
      <c r="K25" s="94">
        <f t="shared" si="0"/>
        <v>0.16282410513128626</v>
      </c>
      <c r="L25" s="94">
        <f t="shared" si="1"/>
        <v>0.4237049779028648</v>
      </c>
      <c r="M25" s="94">
        <f t="shared" si="2"/>
        <v>0</v>
      </c>
      <c r="N25" s="95">
        <f t="shared" si="3"/>
        <v>0.21017726491611602</v>
      </c>
      <c r="O25" s="94">
        <f t="shared" si="10"/>
        <v>0.13381400829832607</v>
      </c>
      <c r="P25" s="94">
        <f t="shared" si="4"/>
        <v>0.0006862753190091641</v>
      </c>
      <c r="Q25" s="94">
        <f t="shared" si="5"/>
        <v>0</v>
      </c>
      <c r="R25" s="96">
        <f t="shared" si="6"/>
        <v>0.08277302906090137</v>
      </c>
    </row>
    <row r="26" spans="1:18" ht="15.75" customHeight="1" thickBot="1">
      <c r="A26" s="34" t="s">
        <v>72</v>
      </c>
      <c r="B26" s="35">
        <f>0.6631*20859</f>
        <v>13831.6029</v>
      </c>
      <c r="C26" s="35">
        <v>0</v>
      </c>
      <c r="D26" s="35">
        <v>0</v>
      </c>
      <c r="E26" s="36">
        <f>+D26+C26+B26</f>
        <v>13831.6029</v>
      </c>
      <c r="F26" s="35">
        <f>30600*0.6221</f>
        <v>19036.26</v>
      </c>
      <c r="G26" s="35">
        <f>40840*0.6221</f>
        <v>25406.564</v>
      </c>
      <c r="H26" s="35">
        <v>0</v>
      </c>
      <c r="I26" s="36">
        <f t="shared" si="8"/>
        <v>44442.82399999999</v>
      </c>
      <c r="J26" s="38">
        <f>IF(+E26&gt;0,(+I26-E26)/E26,0)</f>
        <v>2.2131362013002844</v>
      </c>
      <c r="K26" s="39">
        <f t="shared" si="0"/>
        <v>0.26688260324795693</v>
      </c>
      <c r="L26" s="39">
        <f t="shared" si="1"/>
        <v>0</v>
      </c>
      <c r="M26" s="39">
        <f t="shared" si="2"/>
        <v>0</v>
      </c>
      <c r="N26" s="40">
        <f t="shared" si="3"/>
        <v>0.2135142243649376</v>
      </c>
      <c r="O26" s="39">
        <f>+F26/$F$27</f>
        <v>0.32168345148313127</v>
      </c>
      <c r="P26" s="39">
        <f t="shared" si="4"/>
        <v>0.7186534366239554</v>
      </c>
      <c r="Q26" s="39">
        <f t="shared" si="5"/>
        <v>0</v>
      </c>
      <c r="R26" s="41">
        <f t="shared" si="6"/>
        <v>0.4631348054598052</v>
      </c>
    </row>
    <row r="27" spans="1:18" ht="15.75" customHeight="1" thickBot="1">
      <c r="A27" s="20" t="s">
        <v>22</v>
      </c>
      <c r="B27" s="21">
        <f aca="true" t="shared" si="12" ref="B27:I27">SUM(B11:B26)</f>
        <v>51826.543699999995</v>
      </c>
      <c r="C27" s="21">
        <f t="shared" si="12"/>
        <v>12217.986499999999</v>
      </c>
      <c r="D27" s="21">
        <f t="shared" si="12"/>
        <v>736.1791000000001</v>
      </c>
      <c r="E27" s="22">
        <f t="shared" si="12"/>
        <v>64780.709299999995</v>
      </c>
      <c r="F27" s="21">
        <f t="shared" si="12"/>
        <v>59176.994999999995</v>
      </c>
      <c r="G27" s="21">
        <f t="shared" si="12"/>
        <v>35353.0126</v>
      </c>
      <c r="H27" s="21">
        <f t="shared" si="12"/>
        <v>1430.8735000000001</v>
      </c>
      <c r="I27" s="22">
        <f t="shared" si="12"/>
        <v>95960.8811</v>
      </c>
      <c r="J27" s="23">
        <f t="shared" si="9"/>
        <v>0.48131877740955836</v>
      </c>
      <c r="K27" s="24">
        <f aca="true" t="shared" si="13" ref="K27:R27">SUM(K11:K26)</f>
        <v>1.0000000000000002</v>
      </c>
      <c r="L27" s="24">
        <f t="shared" si="13"/>
        <v>1.0000000000000002</v>
      </c>
      <c r="M27" s="24">
        <f t="shared" si="13"/>
        <v>0.9999999999999998</v>
      </c>
      <c r="N27" s="25">
        <f t="shared" si="13"/>
        <v>1</v>
      </c>
      <c r="O27" s="24">
        <f t="shared" si="13"/>
        <v>1</v>
      </c>
      <c r="P27" s="24">
        <f t="shared" si="13"/>
        <v>1</v>
      </c>
      <c r="Q27" s="24">
        <f t="shared" si="13"/>
        <v>1</v>
      </c>
      <c r="R27" s="27">
        <f t="shared" si="13"/>
        <v>1</v>
      </c>
    </row>
    <row r="28" spans="1:18" ht="18" customHeight="1">
      <c r="A28" s="2" t="s">
        <v>75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 customHeight="1">
      <c r="A29" s="2" t="str">
        <f>+'usord '!A37</f>
        <v>Canadian Exchange Rate Used: 2000 = .6631 and 2001 = .6221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customHeight="1">
      <c r="A31" s="1" t="s">
        <v>1</v>
      </c>
      <c r="B31" s="3">
        <f>+B2</f>
        <v>37375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.75" customHeight="1">
      <c r="A33" s="1"/>
      <c r="B33" s="1"/>
      <c r="C33" s="4" t="s">
        <v>80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75" customHeight="1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6"/>
    </row>
    <row r="36" spans="1:18" ht="15.75" customHeight="1">
      <c r="A36" s="47"/>
      <c r="B36" s="48"/>
      <c r="C36" s="48"/>
      <c r="D36" s="48" t="s">
        <v>47</v>
      </c>
      <c r="E36" s="48"/>
      <c r="F36" s="48"/>
      <c r="G36" s="48"/>
      <c r="H36" s="48"/>
      <c r="I36" s="48"/>
      <c r="J36" s="49"/>
      <c r="K36" s="48"/>
      <c r="L36" s="48"/>
      <c r="M36" s="48" t="s">
        <v>9</v>
      </c>
      <c r="N36" s="48"/>
      <c r="O36" s="48"/>
      <c r="P36" s="48"/>
      <c r="Q36" s="48"/>
      <c r="R36" s="50"/>
    </row>
    <row r="37" spans="1:18" ht="15.75" customHeight="1">
      <c r="A37" s="51"/>
      <c r="B37" s="48"/>
      <c r="C37" s="48">
        <f>+C8</f>
        <v>2000</v>
      </c>
      <c r="D37" s="48"/>
      <c r="E37" s="52"/>
      <c r="F37" s="48"/>
      <c r="G37" s="48">
        <f>+G8</f>
        <v>2001</v>
      </c>
      <c r="H37" s="48"/>
      <c r="I37" s="52"/>
      <c r="J37" s="53" t="s">
        <v>7</v>
      </c>
      <c r="K37" s="48"/>
      <c r="L37" s="48">
        <f>+C37</f>
        <v>2000</v>
      </c>
      <c r="M37" s="62"/>
      <c r="N37" s="52"/>
      <c r="O37" s="48"/>
      <c r="P37" s="48">
        <f>+G37</f>
        <v>2001</v>
      </c>
      <c r="Q37" s="48"/>
      <c r="R37" s="50"/>
    </row>
    <row r="38" spans="1:18" ht="15.75" customHeight="1" thickBot="1">
      <c r="A38" s="54" t="s">
        <v>2</v>
      </c>
      <c r="B38" s="57" t="s">
        <v>3</v>
      </c>
      <c r="C38" s="57" t="s">
        <v>4</v>
      </c>
      <c r="D38" s="57" t="s">
        <v>5</v>
      </c>
      <c r="E38" s="58" t="s">
        <v>6</v>
      </c>
      <c r="F38" s="57" t="s">
        <v>3</v>
      </c>
      <c r="G38" s="57" t="s">
        <v>4</v>
      </c>
      <c r="H38" s="57" t="s">
        <v>5</v>
      </c>
      <c r="I38" s="58" t="s">
        <v>6</v>
      </c>
      <c r="J38" s="59" t="s">
        <v>8</v>
      </c>
      <c r="K38" s="57" t="s">
        <v>3</v>
      </c>
      <c r="L38" s="57" t="s">
        <v>4</v>
      </c>
      <c r="M38" s="57" t="s">
        <v>5</v>
      </c>
      <c r="N38" s="58" t="s">
        <v>6</v>
      </c>
      <c r="O38" s="57" t="s">
        <v>3</v>
      </c>
      <c r="P38" s="57" t="s">
        <v>4</v>
      </c>
      <c r="Q38" s="57" t="s">
        <v>5</v>
      </c>
      <c r="R38" s="60" t="s">
        <v>6</v>
      </c>
    </row>
    <row r="39" spans="1:18" ht="15.75" customHeight="1" thickTop="1">
      <c r="A39" s="34"/>
      <c r="B39" s="74"/>
      <c r="C39" s="74"/>
      <c r="D39" s="74"/>
      <c r="E39" s="75"/>
      <c r="F39" s="74"/>
      <c r="G39" s="74"/>
      <c r="H39" s="74"/>
      <c r="I39" s="75"/>
      <c r="J39" s="85"/>
      <c r="K39" s="74"/>
      <c r="L39" s="74"/>
      <c r="M39" s="74"/>
      <c r="N39" s="75"/>
      <c r="O39" s="74"/>
      <c r="P39" s="74"/>
      <c r="Q39" s="74"/>
      <c r="R39" s="76"/>
    </row>
    <row r="40" spans="1:18" ht="13.5" customHeight="1">
      <c r="A40" s="90" t="s">
        <v>10</v>
      </c>
      <c r="B40" s="91">
        <v>36</v>
      </c>
      <c r="C40" s="91">
        <v>0</v>
      </c>
      <c r="D40" s="91">
        <v>1</v>
      </c>
      <c r="E40" s="92">
        <f>+D40+C40+B40</f>
        <v>37</v>
      </c>
      <c r="F40" s="91">
        <v>31</v>
      </c>
      <c r="G40" s="91">
        <v>0</v>
      </c>
      <c r="H40" s="91">
        <v>1</v>
      </c>
      <c r="I40" s="92">
        <f aca="true" t="shared" si="14" ref="I40:I54">+H40+G40+F40</f>
        <v>32</v>
      </c>
      <c r="J40" s="93">
        <f aca="true" t="shared" si="15" ref="J40:J56">IF(+E40&gt;0,(+I40-E40)/E40,0)</f>
        <v>-0.13513513513513514</v>
      </c>
      <c r="K40" s="94">
        <f aca="true" t="shared" si="16" ref="K40:K55">+B40/$B$56</f>
        <v>0.00017966149026413437</v>
      </c>
      <c r="L40" s="94">
        <f aca="true" t="shared" si="17" ref="L40:L55">+C40/$C$56</f>
        <v>0</v>
      </c>
      <c r="M40" s="94">
        <f aca="true" t="shared" si="18" ref="M40:M55">+D40/$D$56</f>
        <v>9.555758337241478E-05</v>
      </c>
      <c r="N40" s="95">
        <f aca="true" t="shared" si="19" ref="N40:N55">+E40/$E$56</f>
        <v>0.00015012692263598846</v>
      </c>
      <c r="O40" s="94">
        <f>+F40/$F$56</f>
        <v>0.00013812947746673362</v>
      </c>
      <c r="P40" s="94">
        <f aca="true" t="shared" si="20" ref="P40:P55">+G40/$G$56</f>
        <v>0</v>
      </c>
      <c r="Q40" s="94">
        <f aca="true" t="shared" si="21" ref="Q40:Q55">+H40/$H$56</f>
        <v>9.22184138169079E-05</v>
      </c>
      <c r="R40" s="96">
        <f aca="true" t="shared" si="22" ref="R40:R55">+I40/$I$56</f>
        <v>0.00010755075578371271</v>
      </c>
    </row>
    <row r="41" spans="1:18" ht="15.75" customHeight="1">
      <c r="A41" s="34" t="s">
        <v>54</v>
      </c>
      <c r="B41" s="35">
        <v>2164.7</v>
      </c>
      <c r="C41" s="35">
        <v>0</v>
      </c>
      <c r="D41" s="35">
        <v>23.2</v>
      </c>
      <c r="E41" s="36">
        <f>+D41+C41+B41</f>
        <v>2187.8999999999996</v>
      </c>
      <c r="F41" s="35">
        <v>1989</v>
      </c>
      <c r="G41" s="35">
        <v>0</v>
      </c>
      <c r="H41" s="35">
        <v>26</v>
      </c>
      <c r="I41" s="36">
        <f t="shared" si="14"/>
        <v>2015</v>
      </c>
      <c r="J41" s="38">
        <f>IF(+E41&gt;0,(+I41-E41)/E41,0)</f>
        <v>-0.07902554961378476</v>
      </c>
      <c r="K41" s="39">
        <f t="shared" si="16"/>
        <v>0.010803145221521435</v>
      </c>
      <c r="L41" s="39">
        <f t="shared" si="17"/>
        <v>0</v>
      </c>
      <c r="M41" s="39">
        <f t="shared" si="18"/>
        <v>0.002216935934240023</v>
      </c>
      <c r="N41" s="40">
        <f t="shared" si="19"/>
        <v>0.008877370109061597</v>
      </c>
      <c r="O41" s="39">
        <f>+F41/$F$56</f>
        <v>0.008862565505849457</v>
      </c>
      <c r="P41" s="39">
        <f t="shared" si="20"/>
        <v>0</v>
      </c>
      <c r="Q41" s="39">
        <f t="shared" si="21"/>
        <v>0.0023976787592396055</v>
      </c>
      <c r="R41" s="41">
        <f t="shared" si="22"/>
        <v>0.00677233665325566</v>
      </c>
    </row>
    <row r="42" spans="1:18" ht="15.75" customHeight="1">
      <c r="A42" s="90" t="s">
        <v>83</v>
      </c>
      <c r="B42" s="91">
        <v>0</v>
      </c>
      <c r="C42" s="91">
        <v>0</v>
      </c>
      <c r="D42" s="91">
        <v>0</v>
      </c>
      <c r="E42" s="92">
        <f>+D42+C42+B42</f>
        <v>0</v>
      </c>
      <c r="F42" s="91">
        <v>677</v>
      </c>
      <c r="G42" s="91">
        <v>0</v>
      </c>
      <c r="H42" s="91">
        <v>0</v>
      </c>
      <c r="I42" s="92">
        <f>+H42+G42+F42</f>
        <v>677</v>
      </c>
      <c r="J42" s="93">
        <f>IF(+E42&gt;0,(+I42-E42)/E42,0)</f>
        <v>0</v>
      </c>
      <c r="K42" s="94">
        <f>+B42/$B$56</f>
        <v>0</v>
      </c>
      <c r="L42" s="94">
        <f>+C42/$C$56</f>
        <v>0</v>
      </c>
      <c r="M42" s="94">
        <f>+D42/$D$56</f>
        <v>0</v>
      </c>
      <c r="N42" s="95">
        <f>+E42/$E$56</f>
        <v>0</v>
      </c>
      <c r="O42" s="94">
        <f>+F42/$F$56</f>
        <v>0.003016569556289634</v>
      </c>
      <c r="P42" s="94">
        <f>+G42/$G$56</f>
        <v>0</v>
      </c>
      <c r="Q42" s="94">
        <f>+H42/$H$56</f>
        <v>0</v>
      </c>
      <c r="R42" s="96">
        <f>+I42/$I$56</f>
        <v>0.002275370677049172</v>
      </c>
    </row>
    <row r="43" spans="1:18" ht="15.75" customHeight="1">
      <c r="A43" s="34" t="s">
        <v>56</v>
      </c>
      <c r="B43" s="35">
        <v>0</v>
      </c>
      <c r="C43" s="35">
        <v>0</v>
      </c>
      <c r="D43" s="35">
        <f>0.6631*4973</f>
        <v>3297.5963</v>
      </c>
      <c r="E43" s="36">
        <f aca="true" t="shared" si="23" ref="E43:E54">+D43+C43+B43</f>
        <v>3297.5963</v>
      </c>
      <c r="F43" s="35">
        <v>0</v>
      </c>
      <c r="G43" s="35">
        <v>0</v>
      </c>
      <c r="H43" s="35">
        <f>5732*0.6221</f>
        <v>3565.8772</v>
      </c>
      <c r="I43" s="36">
        <f t="shared" si="14"/>
        <v>3565.8772</v>
      </c>
      <c r="J43" s="38">
        <f t="shared" si="15"/>
        <v>0.08135650200723471</v>
      </c>
      <c r="K43" s="39">
        <f t="shared" si="16"/>
        <v>0</v>
      </c>
      <c r="L43" s="39">
        <f t="shared" si="17"/>
        <v>0</v>
      </c>
      <c r="M43" s="39">
        <f t="shared" si="18"/>
        <v>0.31511033336581656</v>
      </c>
      <c r="N43" s="40">
        <f t="shared" si="19"/>
        <v>0.013379945530130319</v>
      </c>
      <c r="O43" s="39">
        <f aca="true" t="shared" si="24" ref="O43:O54">+F43/$F$56</f>
        <v>0</v>
      </c>
      <c r="P43" s="39">
        <f t="shared" si="20"/>
        <v>0</v>
      </c>
      <c r="Q43" s="39">
        <f t="shared" si="21"/>
        <v>0.32883953924987686</v>
      </c>
      <c r="R43" s="41">
        <f t="shared" si="22"/>
        <v>0.011984774621622165</v>
      </c>
    </row>
    <row r="44" spans="1:18" ht="15.75" customHeight="1">
      <c r="A44" s="90" t="s">
        <v>13</v>
      </c>
      <c r="B44" s="91">
        <v>0</v>
      </c>
      <c r="C44" s="91">
        <v>0</v>
      </c>
      <c r="D44" s="91">
        <v>842</v>
      </c>
      <c r="E44" s="92">
        <f t="shared" si="23"/>
        <v>842</v>
      </c>
      <c r="F44" s="91">
        <v>0</v>
      </c>
      <c r="G44" s="91">
        <v>0</v>
      </c>
      <c r="H44" s="91">
        <v>834</v>
      </c>
      <c r="I44" s="92">
        <f t="shared" si="14"/>
        <v>834</v>
      </c>
      <c r="J44" s="93">
        <f t="shared" si="15"/>
        <v>-0.009501187648456057</v>
      </c>
      <c r="K44" s="94">
        <f t="shared" si="16"/>
        <v>0</v>
      </c>
      <c r="L44" s="94">
        <f t="shared" si="17"/>
        <v>0</v>
      </c>
      <c r="M44" s="94">
        <f t="shared" si="18"/>
        <v>0.08045948519957324</v>
      </c>
      <c r="N44" s="95">
        <f t="shared" si="19"/>
        <v>0.003416401861067629</v>
      </c>
      <c r="O44" s="94">
        <f t="shared" si="24"/>
        <v>0</v>
      </c>
      <c r="P44" s="94">
        <f t="shared" si="20"/>
        <v>0</v>
      </c>
      <c r="Q44" s="94">
        <f t="shared" si="21"/>
        <v>0.0769101571233012</v>
      </c>
      <c r="R44" s="96">
        <f t="shared" si="22"/>
        <v>0.0028030415726130126</v>
      </c>
    </row>
    <row r="45" spans="1:18" ht="15.75" customHeight="1">
      <c r="A45" s="34" t="s">
        <v>55</v>
      </c>
      <c r="B45" s="35">
        <f>0.6631*8430</f>
        <v>5589.933</v>
      </c>
      <c r="C45" s="35">
        <f>0.6631*13649</f>
        <v>9050.6519</v>
      </c>
      <c r="D45" s="35">
        <v>0</v>
      </c>
      <c r="E45" s="36">
        <f t="shared" si="23"/>
        <v>14640.584900000002</v>
      </c>
      <c r="F45" s="35">
        <f>0.6221*17889</f>
        <v>11128.7469</v>
      </c>
      <c r="G45" s="35">
        <f>0.6221*28619</f>
        <v>17803.8799</v>
      </c>
      <c r="H45" s="35">
        <v>0</v>
      </c>
      <c r="I45" s="36">
        <f t="shared" si="14"/>
        <v>28932.6268</v>
      </c>
      <c r="J45" s="38">
        <f t="shared" si="15"/>
        <v>0.976193369159725</v>
      </c>
      <c r="K45" s="39">
        <f t="shared" si="16"/>
        <v>0.027897102590462873</v>
      </c>
      <c r="L45" s="39">
        <f t="shared" si="17"/>
        <v>0.2541147230060816</v>
      </c>
      <c r="M45" s="39">
        <f t="shared" si="18"/>
        <v>0</v>
      </c>
      <c r="N45" s="40">
        <f t="shared" si="19"/>
        <v>0.059403944773727596</v>
      </c>
      <c r="O45" s="39">
        <f t="shared" si="24"/>
        <v>0.0495873546502107</v>
      </c>
      <c r="P45" s="39">
        <f t="shared" si="20"/>
        <v>0.28594637102593357</v>
      </c>
      <c r="Q45" s="39">
        <f t="shared" si="21"/>
        <v>0</v>
      </c>
      <c r="R45" s="41">
        <f t="shared" si="22"/>
        <v>0.09724143372337817</v>
      </c>
    </row>
    <row r="46" spans="1:18" ht="15.75" customHeight="1">
      <c r="A46" s="90" t="s">
        <v>62</v>
      </c>
      <c r="B46" s="91">
        <v>144</v>
      </c>
      <c r="C46" s="91">
        <v>0</v>
      </c>
      <c r="D46" s="91">
        <v>0</v>
      </c>
      <c r="E46" s="92">
        <f t="shared" si="23"/>
        <v>144</v>
      </c>
      <c r="F46" s="91">
        <v>219</v>
      </c>
      <c r="G46" s="91">
        <v>0</v>
      </c>
      <c r="H46" s="91">
        <v>0</v>
      </c>
      <c r="I46" s="92">
        <f>+H46+G46+F46</f>
        <v>219</v>
      </c>
      <c r="J46" s="93">
        <f>IF(+E46&gt;0,(+I46-E46)/E46,0)</f>
        <v>0.5208333333333334</v>
      </c>
      <c r="K46" s="94">
        <f t="shared" si="16"/>
        <v>0.0007186459610565375</v>
      </c>
      <c r="L46" s="94">
        <f t="shared" si="17"/>
        <v>0</v>
      </c>
      <c r="M46" s="94">
        <f t="shared" si="18"/>
        <v>0</v>
      </c>
      <c r="N46" s="95">
        <f t="shared" si="19"/>
        <v>0.0005842777529616848</v>
      </c>
      <c r="O46" s="94">
        <f t="shared" si="24"/>
        <v>0.0009758179214585374</v>
      </c>
      <c r="P46" s="94">
        <f t="shared" si="20"/>
        <v>0</v>
      </c>
      <c r="Q46" s="94">
        <f t="shared" si="21"/>
        <v>0</v>
      </c>
      <c r="R46" s="96">
        <f t="shared" si="22"/>
        <v>0.0007360504848947839</v>
      </c>
    </row>
    <row r="47" spans="1:18" ht="15.75" customHeight="1">
      <c r="A47" s="34" t="s">
        <v>14</v>
      </c>
      <c r="B47" s="35">
        <v>1670</v>
      </c>
      <c r="C47" s="35">
        <v>0</v>
      </c>
      <c r="D47" s="35">
        <v>340</v>
      </c>
      <c r="E47" s="36">
        <f t="shared" si="23"/>
        <v>2010</v>
      </c>
      <c r="F47" s="35">
        <v>3390</v>
      </c>
      <c r="G47" s="35">
        <v>0</v>
      </c>
      <c r="H47" s="35">
        <v>296</v>
      </c>
      <c r="I47" s="36">
        <f t="shared" si="14"/>
        <v>3686</v>
      </c>
      <c r="J47" s="38">
        <f t="shared" si="15"/>
        <v>0.8338308457711443</v>
      </c>
      <c r="K47" s="39">
        <f t="shared" si="16"/>
        <v>0.008334296909475122</v>
      </c>
      <c r="L47" s="39">
        <f t="shared" si="17"/>
        <v>0</v>
      </c>
      <c r="M47" s="39">
        <f t="shared" si="18"/>
        <v>0.03248957834662103</v>
      </c>
      <c r="N47" s="40">
        <f t="shared" si="19"/>
        <v>0.008155543635090183</v>
      </c>
      <c r="O47" s="39">
        <f t="shared" si="24"/>
        <v>0.015105126729426675</v>
      </c>
      <c r="P47" s="39">
        <f t="shared" si="20"/>
        <v>0</v>
      </c>
      <c r="Q47" s="39">
        <f t="shared" si="21"/>
        <v>0.02729665048980474</v>
      </c>
      <c r="R47" s="41">
        <f t="shared" si="22"/>
        <v>0.012388502681836408</v>
      </c>
    </row>
    <row r="48" spans="1:18" ht="15.75" customHeight="1">
      <c r="A48" s="90" t="s">
        <v>58</v>
      </c>
      <c r="B48" s="91">
        <v>90</v>
      </c>
      <c r="C48" s="91">
        <v>0</v>
      </c>
      <c r="D48" s="91">
        <v>0</v>
      </c>
      <c r="E48" s="92">
        <f t="shared" si="23"/>
        <v>90</v>
      </c>
      <c r="F48" s="91">
        <v>60</v>
      </c>
      <c r="G48" s="91">
        <v>0</v>
      </c>
      <c r="H48" s="91">
        <v>0</v>
      </c>
      <c r="I48" s="92">
        <f t="shared" si="14"/>
        <v>60</v>
      </c>
      <c r="J48" s="93">
        <f t="shared" si="15"/>
        <v>-0.3333333333333333</v>
      </c>
      <c r="K48" s="94">
        <f t="shared" si="16"/>
        <v>0.00044915372566033595</v>
      </c>
      <c r="L48" s="94">
        <f t="shared" si="17"/>
        <v>0</v>
      </c>
      <c r="M48" s="94">
        <f t="shared" si="18"/>
        <v>0</v>
      </c>
      <c r="N48" s="95">
        <f t="shared" si="19"/>
        <v>0.000365173595601053</v>
      </c>
      <c r="O48" s="94">
        <f t="shared" si="24"/>
        <v>0.00026734737574206504</v>
      </c>
      <c r="P48" s="94">
        <f t="shared" si="20"/>
        <v>0</v>
      </c>
      <c r="Q48" s="94">
        <f t="shared" si="21"/>
        <v>0</v>
      </c>
      <c r="R48" s="96">
        <f t="shared" si="22"/>
        <v>0.00020165766709446132</v>
      </c>
    </row>
    <row r="49" spans="1:18" ht="15.75" customHeight="1">
      <c r="A49" s="34" t="s">
        <v>33</v>
      </c>
      <c r="B49" s="35">
        <v>15956</v>
      </c>
      <c r="C49" s="35">
        <v>0</v>
      </c>
      <c r="D49" s="35">
        <v>0</v>
      </c>
      <c r="E49" s="36">
        <f t="shared" si="23"/>
        <v>15956</v>
      </c>
      <c r="F49" s="118" t="s">
        <v>71</v>
      </c>
      <c r="G49" s="119"/>
      <c r="H49" s="119"/>
      <c r="I49" s="120"/>
      <c r="J49" s="38">
        <v>0</v>
      </c>
      <c r="K49" s="39">
        <f t="shared" si="16"/>
        <v>0.07962996496262578</v>
      </c>
      <c r="L49" s="39">
        <f t="shared" si="17"/>
        <v>0</v>
      </c>
      <c r="M49" s="39">
        <f t="shared" si="18"/>
        <v>0</v>
      </c>
      <c r="N49" s="40">
        <f t="shared" si="19"/>
        <v>0.06474122101567113</v>
      </c>
      <c r="O49" s="39">
        <v>0</v>
      </c>
      <c r="P49" s="39">
        <f t="shared" si="20"/>
        <v>0</v>
      </c>
      <c r="Q49" s="39">
        <f t="shared" si="21"/>
        <v>0</v>
      </c>
      <c r="R49" s="41">
        <f t="shared" si="22"/>
        <v>0</v>
      </c>
    </row>
    <row r="50" spans="1:18" ht="15.75" customHeight="1">
      <c r="A50" s="90" t="s">
        <v>16</v>
      </c>
      <c r="B50" s="91">
        <v>0</v>
      </c>
      <c r="C50" s="91">
        <v>2474</v>
      </c>
      <c r="D50" s="91">
        <v>4430</v>
      </c>
      <c r="E50" s="92">
        <f t="shared" si="23"/>
        <v>6904</v>
      </c>
      <c r="F50" s="91">
        <v>0</v>
      </c>
      <c r="G50" s="91">
        <v>2333</v>
      </c>
      <c r="H50" s="91">
        <v>4366</v>
      </c>
      <c r="I50" s="92">
        <f t="shared" si="14"/>
        <v>6699</v>
      </c>
      <c r="J50" s="93">
        <f t="shared" si="15"/>
        <v>-0.02969293163383546</v>
      </c>
      <c r="K50" s="94">
        <f t="shared" si="16"/>
        <v>0</v>
      </c>
      <c r="L50" s="94">
        <f t="shared" si="17"/>
        <v>0.06946238035262917</v>
      </c>
      <c r="M50" s="94">
        <f t="shared" si="18"/>
        <v>0.4233200943397975</v>
      </c>
      <c r="N50" s="95">
        <f t="shared" si="19"/>
        <v>0.028012872266996332</v>
      </c>
      <c r="O50" s="94">
        <f t="shared" si="24"/>
        <v>0</v>
      </c>
      <c r="P50" s="94">
        <f t="shared" si="20"/>
        <v>0.037470084461955</v>
      </c>
      <c r="Q50" s="94">
        <f t="shared" si="21"/>
        <v>0.4026255947246199</v>
      </c>
      <c r="R50" s="96">
        <f t="shared" si="22"/>
        <v>0.02251507853109661</v>
      </c>
    </row>
    <row r="51" spans="1:18" ht="15.75" customHeight="1">
      <c r="A51" s="34" t="s">
        <v>34</v>
      </c>
      <c r="B51" s="35">
        <f>83783*0.6631</f>
        <v>55556.507300000005</v>
      </c>
      <c r="C51" s="35">
        <f>0.6631*28042</f>
        <v>18594.6502</v>
      </c>
      <c r="D51" s="35">
        <f>13*0.6631</f>
        <v>8.6203</v>
      </c>
      <c r="E51" s="36">
        <f t="shared" si="23"/>
        <v>74159.77780000001</v>
      </c>
      <c r="F51" s="35">
        <f>111801*0.6221</f>
        <v>69551.40209999999</v>
      </c>
      <c r="G51" s="35">
        <f>26194*0.6221</f>
        <v>16295.2874</v>
      </c>
      <c r="H51" s="35">
        <f>13*0.6221</f>
        <v>8.087299999999999</v>
      </c>
      <c r="I51" s="36">
        <f t="shared" si="14"/>
        <v>85854.77679999999</v>
      </c>
      <c r="J51" s="38">
        <f t="shared" si="15"/>
        <v>0.1577000275208481</v>
      </c>
      <c r="K51" s="39">
        <f t="shared" si="16"/>
        <v>0.27726013598300725</v>
      </c>
      <c r="L51" s="39">
        <f t="shared" si="17"/>
        <v>0.5220811094246127</v>
      </c>
      <c r="M51" s="39">
        <f t="shared" si="18"/>
        <v>0.0008237350359452272</v>
      </c>
      <c r="N51" s="40">
        <f t="shared" si="19"/>
        <v>0.300902141202235</v>
      </c>
      <c r="O51" s="39">
        <f t="shared" si="24"/>
        <v>0.3099064138436025</v>
      </c>
      <c r="P51" s="39">
        <f t="shared" si="20"/>
        <v>0.261717014663451</v>
      </c>
      <c r="Q51" s="39">
        <f t="shared" si="21"/>
        <v>0.0007457979780614792</v>
      </c>
      <c r="R51" s="41">
        <f t="shared" si="22"/>
        <v>0.28855456664006135</v>
      </c>
    </row>
    <row r="52" spans="1:18" ht="15.75" customHeight="1">
      <c r="A52" s="90" t="s">
        <v>18</v>
      </c>
      <c r="B52" s="91">
        <f>0.6631*10159</f>
        <v>6736.4329</v>
      </c>
      <c r="C52" s="91">
        <f>730*0.6631</f>
        <v>484.063</v>
      </c>
      <c r="D52" s="91">
        <v>0</v>
      </c>
      <c r="E52" s="92">
        <f t="shared" si="23"/>
        <v>7220.4959</v>
      </c>
      <c r="F52" s="91">
        <f>11679*0.6221</f>
        <v>7265.5059</v>
      </c>
      <c r="G52" s="91">
        <f>647*0.6221</f>
        <v>402.4987</v>
      </c>
      <c r="H52" s="91">
        <v>0</v>
      </c>
      <c r="I52" s="92">
        <f t="shared" si="14"/>
        <v>7668.0046</v>
      </c>
      <c r="J52" s="93">
        <f t="shared" si="15"/>
        <v>0.061977557524823236</v>
      </c>
      <c r="K52" s="94">
        <f t="shared" si="16"/>
        <v>0.03361882149662068</v>
      </c>
      <c r="L52" s="94">
        <f t="shared" si="17"/>
        <v>0.013591013832107814</v>
      </c>
      <c r="M52" s="94">
        <f t="shared" si="18"/>
        <v>0</v>
      </c>
      <c r="N52" s="95">
        <f t="shared" si="19"/>
        <v>0.029297049442507345</v>
      </c>
      <c r="O52" s="94">
        <f t="shared" si="24"/>
        <v>0.03237356559672484</v>
      </c>
      <c r="P52" s="94">
        <f t="shared" si="20"/>
        <v>0.006464492192381949</v>
      </c>
      <c r="Q52" s="94">
        <f t="shared" si="21"/>
        <v>0</v>
      </c>
      <c r="R52" s="96">
        <f t="shared" si="22"/>
        <v>0.025771865315093304</v>
      </c>
    </row>
    <row r="53" spans="1:18" ht="15.75" customHeight="1">
      <c r="A53" s="34" t="s">
        <v>20</v>
      </c>
      <c r="B53" s="35">
        <v>2</v>
      </c>
      <c r="C53" s="35">
        <v>0</v>
      </c>
      <c r="D53" s="35">
        <v>0</v>
      </c>
      <c r="E53" s="36">
        <f t="shared" si="23"/>
        <v>2</v>
      </c>
      <c r="F53" s="35">
        <v>2</v>
      </c>
      <c r="G53" s="35">
        <v>0</v>
      </c>
      <c r="H53" s="35">
        <v>0</v>
      </c>
      <c r="I53" s="36">
        <f t="shared" si="14"/>
        <v>2</v>
      </c>
      <c r="J53" s="38">
        <f>IF(+E53&gt;0,(+I53-E53)/E53,0)</f>
        <v>0</v>
      </c>
      <c r="K53" s="39">
        <f t="shared" si="16"/>
        <v>9.981193903563021E-06</v>
      </c>
      <c r="L53" s="39">
        <f t="shared" si="17"/>
        <v>0</v>
      </c>
      <c r="M53" s="39">
        <f t="shared" si="18"/>
        <v>0</v>
      </c>
      <c r="N53" s="40">
        <f t="shared" si="19"/>
        <v>8.11496879113451E-06</v>
      </c>
      <c r="O53" s="39">
        <f t="shared" si="24"/>
        <v>8.911579191402169E-06</v>
      </c>
      <c r="P53" s="39">
        <f t="shared" si="20"/>
        <v>0</v>
      </c>
      <c r="Q53" s="39">
        <f t="shared" si="21"/>
        <v>0</v>
      </c>
      <c r="R53" s="41">
        <f t="shared" si="22"/>
        <v>6.7219222364820445E-06</v>
      </c>
    </row>
    <row r="54" spans="1:18" ht="15.75" customHeight="1">
      <c r="A54" s="90" t="s">
        <v>37</v>
      </c>
      <c r="B54" s="91">
        <f>0.6631*70031</f>
        <v>46437.5561</v>
      </c>
      <c r="C54" s="91">
        <f>0.6631*7560</f>
        <v>5013.036</v>
      </c>
      <c r="D54" s="91">
        <f>2296*0.6631</f>
        <v>1522.4776000000002</v>
      </c>
      <c r="E54" s="92">
        <f t="shared" si="23"/>
        <v>52973.0697</v>
      </c>
      <c r="F54" s="91">
        <f>0.6221*84632</f>
        <v>52649.5672</v>
      </c>
      <c r="G54" s="91">
        <f>0.6221*35</f>
        <v>21.7735</v>
      </c>
      <c r="H54" s="91">
        <f>0.6221*2808</f>
        <v>1746.8568</v>
      </c>
      <c r="I54" s="92">
        <f t="shared" si="14"/>
        <v>54418.197499999995</v>
      </c>
      <c r="J54" s="93">
        <f t="shared" si="15"/>
        <v>0.027280423962291064</v>
      </c>
      <c r="K54" s="94">
        <f t="shared" si="16"/>
        <v>0.23175112592084288</v>
      </c>
      <c r="L54" s="94">
        <f t="shared" si="17"/>
        <v>0.1407507733845686</v>
      </c>
      <c r="M54" s="94">
        <f t="shared" si="18"/>
        <v>0.145484280194634</v>
      </c>
      <c r="N54" s="95">
        <f t="shared" si="19"/>
        <v>0.2149374036930466</v>
      </c>
      <c r="O54" s="94">
        <f t="shared" si="24"/>
        <v>0.23459539374792507</v>
      </c>
      <c r="P54" s="94">
        <f t="shared" si="20"/>
        <v>0.00034970205059253203</v>
      </c>
      <c r="Q54" s="94">
        <f t="shared" si="21"/>
        <v>0.16109236326127951</v>
      </c>
      <c r="R54" s="96">
        <f t="shared" si="22"/>
        <v>0.1828974459222608</v>
      </c>
    </row>
    <row r="55" spans="1:18" ht="15.75" customHeight="1" thickBot="1">
      <c r="A55" s="34" t="s">
        <v>72</v>
      </c>
      <c r="B55" s="35">
        <f>0.6631*99523</f>
        <v>65993.7013</v>
      </c>
      <c r="C55" s="35">
        <v>0</v>
      </c>
      <c r="D55" s="35">
        <v>0</v>
      </c>
      <c r="E55" s="36">
        <f>+D55+C55+B55</f>
        <v>65993.7013</v>
      </c>
      <c r="F55" s="35">
        <f>0.6221*124520</f>
        <v>77463.89199999999</v>
      </c>
      <c r="G55" s="35">
        <f>0.6221*40840</f>
        <v>25406.564</v>
      </c>
      <c r="H55" s="35">
        <v>0</v>
      </c>
      <c r="I55" s="36">
        <f>+H55+G55+F55</f>
        <v>102870.45599999999</v>
      </c>
      <c r="J55" s="38">
        <f>IF(+E55&gt;0,(+I55-E55)/E55,0)</f>
        <v>0.5587920358090294</v>
      </c>
      <c r="K55" s="39">
        <f t="shared" si="16"/>
        <v>0.3293479645445595</v>
      </c>
      <c r="L55" s="39">
        <f t="shared" si="17"/>
        <v>0</v>
      </c>
      <c r="M55" s="39">
        <f t="shared" si="18"/>
        <v>0</v>
      </c>
      <c r="N55" s="40">
        <f t="shared" si="19"/>
        <v>0.2677684132304765</v>
      </c>
      <c r="O55" s="39">
        <f>+F55/$F$56</f>
        <v>0.34516280401611243</v>
      </c>
      <c r="P55" s="39">
        <f t="shared" si="20"/>
        <v>0.40805233560568593</v>
      </c>
      <c r="Q55" s="39">
        <f t="shared" si="21"/>
        <v>0</v>
      </c>
      <c r="R55" s="41">
        <f t="shared" si="22"/>
        <v>0.34574360283172384</v>
      </c>
    </row>
    <row r="56" spans="1:18" ht="15.75" customHeight="1" thickBot="1">
      <c r="A56" s="20" t="s">
        <v>22</v>
      </c>
      <c r="B56" s="21">
        <f aca="true" t="shared" si="25" ref="B56:I56">SUM(B40:B55)</f>
        <v>200376.8306</v>
      </c>
      <c r="C56" s="21">
        <f t="shared" si="25"/>
        <v>35616.4011</v>
      </c>
      <c r="D56" s="21">
        <f t="shared" si="25"/>
        <v>10464.8942</v>
      </c>
      <c r="E56" s="22">
        <f t="shared" si="25"/>
        <v>246458.12589999998</v>
      </c>
      <c r="F56" s="21">
        <f t="shared" si="25"/>
        <v>224427.11409999998</v>
      </c>
      <c r="G56" s="21">
        <f t="shared" si="25"/>
        <v>62263.0035</v>
      </c>
      <c r="H56" s="21">
        <f t="shared" si="25"/>
        <v>10843.821299999998</v>
      </c>
      <c r="I56" s="22">
        <f t="shared" si="25"/>
        <v>297533.9389</v>
      </c>
      <c r="J56" s="23">
        <f t="shared" si="15"/>
        <v>0.20723931423841127</v>
      </c>
      <c r="K56" s="24">
        <f aca="true" t="shared" si="26" ref="K56:R56">SUM(K40:K55)</f>
        <v>1</v>
      </c>
      <c r="L56" s="24">
        <f t="shared" si="26"/>
        <v>1</v>
      </c>
      <c r="M56" s="24">
        <f t="shared" si="26"/>
        <v>1</v>
      </c>
      <c r="N56" s="25">
        <f t="shared" si="26"/>
        <v>1</v>
      </c>
      <c r="O56" s="24">
        <f t="shared" si="26"/>
        <v>1</v>
      </c>
      <c r="P56" s="24">
        <f t="shared" si="26"/>
        <v>1</v>
      </c>
      <c r="Q56" s="24">
        <f t="shared" si="26"/>
        <v>1.0000000000000002</v>
      </c>
      <c r="R56" s="27">
        <f t="shared" si="26"/>
        <v>1</v>
      </c>
    </row>
    <row r="57" spans="1:18" ht="15.75" customHeight="1">
      <c r="A57" s="2" t="str">
        <f>+A28</f>
        <v>* 2001 Ordinary Portfolio Amount includes $20,916 of inforce assumed from Lincoln Re.</v>
      </c>
      <c r="B57" s="31"/>
      <c r="C57" s="31"/>
      <c r="D57" s="31"/>
      <c r="E57" s="31"/>
      <c r="F57" s="31"/>
      <c r="G57" s="31"/>
      <c r="H57" s="31"/>
      <c r="I57" s="31"/>
      <c r="J57" s="32"/>
      <c r="K57" s="33"/>
      <c r="L57" s="33"/>
      <c r="M57" s="33"/>
      <c r="N57" s="33"/>
      <c r="O57" s="33"/>
      <c r="P57" s="33"/>
      <c r="Q57" s="33"/>
      <c r="R57" s="33"/>
    </row>
    <row r="58" spans="1:18" ht="15.75" customHeight="1">
      <c r="A58" s="2" t="str">
        <f>+A29</f>
        <v>Canadian Exchange Rate Used: 2000 = .6631 and 2001 = .6221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 customHeight="1">
      <c r="A59" s="1" t="s">
        <v>38</v>
      </c>
      <c r="B59" s="3" t="s">
        <v>38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 customHeight="1">
      <c r="A61" s="1"/>
      <c r="B61" s="1"/>
      <c r="C61" s="1"/>
      <c r="D61" s="1"/>
      <c r="E61" s="2" t="s">
        <v>24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 customHeight="1" thickBot="1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 customHeight="1">
      <c r="A63" s="44" t="s">
        <v>38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6"/>
      <c r="N63" s="1"/>
      <c r="O63" s="1"/>
      <c r="P63" s="1"/>
      <c r="Q63" s="1"/>
      <c r="R63" s="1"/>
    </row>
    <row r="64" spans="1:18" ht="15.75" customHeight="1">
      <c r="A64" s="51"/>
      <c r="B64" s="48" t="s">
        <v>48</v>
      </c>
      <c r="C64" s="48"/>
      <c r="D64" s="48"/>
      <c r="E64" s="52"/>
      <c r="F64" s="48" t="s">
        <v>41</v>
      </c>
      <c r="G64" s="48"/>
      <c r="H64" s="48"/>
      <c r="I64" s="52"/>
      <c r="J64" s="48" t="s">
        <v>49</v>
      </c>
      <c r="K64" s="48"/>
      <c r="L64" s="48"/>
      <c r="M64" s="50"/>
      <c r="N64" s="1"/>
      <c r="O64" s="1"/>
      <c r="P64" s="1"/>
      <c r="Q64" s="1"/>
      <c r="R64" s="1"/>
    </row>
    <row r="65" spans="1:13" ht="15.75" customHeight="1">
      <c r="A65" s="51"/>
      <c r="B65" s="48"/>
      <c r="C65" s="48">
        <f>+C37</f>
        <v>2000</v>
      </c>
      <c r="D65" s="48"/>
      <c r="E65" s="52"/>
      <c r="F65" s="48"/>
      <c r="G65" s="48">
        <f>+G37</f>
        <v>2001</v>
      </c>
      <c r="H65" s="48"/>
      <c r="I65" s="52"/>
      <c r="J65" s="48"/>
      <c r="K65" s="48">
        <f>+G65</f>
        <v>2001</v>
      </c>
      <c r="L65" s="48"/>
      <c r="M65" s="50"/>
    </row>
    <row r="66" spans="1:13" ht="15.75" customHeight="1" thickBot="1">
      <c r="A66" s="54" t="s">
        <v>2</v>
      </c>
      <c r="B66" s="57" t="s">
        <v>3</v>
      </c>
      <c r="C66" s="57" t="s">
        <v>4</v>
      </c>
      <c r="D66" s="57" t="s">
        <v>5</v>
      </c>
      <c r="E66" s="58" t="s">
        <v>6</v>
      </c>
      <c r="F66" s="57" t="s">
        <v>3</v>
      </c>
      <c r="G66" s="57" t="s">
        <v>4</v>
      </c>
      <c r="H66" s="57" t="s">
        <v>5</v>
      </c>
      <c r="I66" s="58" t="s">
        <v>6</v>
      </c>
      <c r="J66" s="57" t="s">
        <v>3</v>
      </c>
      <c r="K66" s="57" t="s">
        <v>4</v>
      </c>
      <c r="L66" s="57" t="s">
        <v>5</v>
      </c>
      <c r="M66" s="60" t="s">
        <v>6</v>
      </c>
    </row>
    <row r="67" spans="1:13" ht="15.75" customHeight="1" thickTop="1">
      <c r="A67" s="34"/>
      <c r="B67" s="74"/>
      <c r="C67" s="74"/>
      <c r="D67" s="74"/>
      <c r="E67" s="75"/>
      <c r="F67" s="74"/>
      <c r="G67" s="74"/>
      <c r="H67" s="74"/>
      <c r="I67" s="75"/>
      <c r="J67" s="74"/>
      <c r="K67" s="74"/>
      <c r="L67" s="74"/>
      <c r="M67" s="76"/>
    </row>
    <row r="68" spans="1:13" ht="15.75" customHeight="1">
      <c r="A68" s="90" t="str">
        <f aca="true" t="shared" si="27" ref="A68:D71">+A40</f>
        <v>Allianz</v>
      </c>
      <c r="B68" s="91">
        <f t="shared" si="27"/>
        <v>36</v>
      </c>
      <c r="C68" s="91">
        <f t="shared" si="27"/>
        <v>0</v>
      </c>
      <c r="D68" s="91">
        <f t="shared" si="27"/>
        <v>1</v>
      </c>
      <c r="E68" s="92">
        <f>+D68+C68+B68</f>
        <v>37</v>
      </c>
      <c r="F68" s="91">
        <f aca="true" t="shared" si="28" ref="F68:H70">+F11</f>
        <v>0</v>
      </c>
      <c r="G68" s="91">
        <f t="shared" si="28"/>
        <v>0</v>
      </c>
      <c r="H68" s="91">
        <f t="shared" si="28"/>
        <v>0</v>
      </c>
      <c r="I68" s="92">
        <f>+H68+G68+F68</f>
        <v>0</v>
      </c>
      <c r="J68" s="91">
        <f aca="true" t="shared" si="29" ref="J68:L69">+F40</f>
        <v>31</v>
      </c>
      <c r="K68" s="91">
        <f t="shared" si="29"/>
        <v>0</v>
      </c>
      <c r="L68" s="91">
        <f t="shared" si="29"/>
        <v>1</v>
      </c>
      <c r="M68" s="103">
        <f>+L68+K68+J68</f>
        <v>32</v>
      </c>
    </row>
    <row r="69" spans="1:13" ht="15.75" customHeight="1">
      <c r="A69" s="34" t="str">
        <f t="shared" si="27"/>
        <v>Annuity and Life Re</v>
      </c>
      <c r="B69" s="35">
        <f t="shared" si="27"/>
        <v>2164.7</v>
      </c>
      <c r="C69" s="35">
        <f t="shared" si="27"/>
        <v>0</v>
      </c>
      <c r="D69" s="35">
        <f t="shared" si="27"/>
        <v>23.2</v>
      </c>
      <c r="E69" s="36">
        <f>+D69+C69+B69</f>
        <v>2187.8999999999996</v>
      </c>
      <c r="F69" s="35">
        <f t="shared" si="28"/>
        <v>0</v>
      </c>
      <c r="G69" s="35">
        <f t="shared" si="28"/>
        <v>0</v>
      </c>
      <c r="H69" s="35">
        <f t="shared" si="28"/>
        <v>6</v>
      </c>
      <c r="I69" s="36">
        <f>+H69+G69+F69</f>
        <v>6</v>
      </c>
      <c r="J69" s="35">
        <f t="shared" si="29"/>
        <v>1989</v>
      </c>
      <c r="K69" s="35">
        <f t="shared" si="29"/>
        <v>0</v>
      </c>
      <c r="L69" s="35">
        <f t="shared" si="29"/>
        <v>26</v>
      </c>
      <c r="M69" s="37">
        <f>+L69+K69+J69</f>
        <v>2015</v>
      </c>
    </row>
    <row r="70" spans="1:13" ht="15.75" customHeight="1">
      <c r="A70" s="90" t="str">
        <f t="shared" si="27"/>
        <v>Canada Life</v>
      </c>
      <c r="B70" s="91">
        <f t="shared" si="27"/>
        <v>0</v>
      </c>
      <c r="C70" s="91">
        <f t="shared" si="27"/>
        <v>0</v>
      </c>
      <c r="D70" s="91">
        <f t="shared" si="27"/>
        <v>0</v>
      </c>
      <c r="E70" s="92">
        <f>+D70+C70+B70</f>
        <v>0</v>
      </c>
      <c r="F70" s="91">
        <f t="shared" si="28"/>
        <v>461</v>
      </c>
      <c r="G70" s="91">
        <f t="shared" si="28"/>
        <v>0</v>
      </c>
      <c r="H70" s="91">
        <f t="shared" si="28"/>
        <v>0</v>
      </c>
      <c r="I70" s="92">
        <f>+H70+G70+F70</f>
        <v>461</v>
      </c>
      <c r="J70" s="91">
        <f aca="true" t="shared" si="30" ref="J70:L71">+F42</f>
        <v>677</v>
      </c>
      <c r="K70" s="91">
        <f t="shared" si="30"/>
        <v>0</v>
      </c>
      <c r="L70" s="91">
        <f t="shared" si="30"/>
        <v>0</v>
      </c>
      <c r="M70" s="103">
        <f>+L70+K70+J70</f>
        <v>677</v>
      </c>
    </row>
    <row r="71" spans="1:13" ht="15.75" customHeight="1">
      <c r="A71" s="34" t="str">
        <f t="shared" si="27"/>
        <v>Clarica LIC (Mutual Group)</v>
      </c>
      <c r="B71" s="35">
        <f t="shared" si="27"/>
        <v>0</v>
      </c>
      <c r="C71" s="35">
        <f t="shared" si="27"/>
        <v>0</v>
      </c>
      <c r="D71" s="35">
        <f t="shared" si="27"/>
        <v>3297.5963</v>
      </c>
      <c r="E71" s="36">
        <f aca="true" t="shared" si="31" ref="E71:E82">+D71+C71+B71</f>
        <v>3297.5963</v>
      </c>
      <c r="F71" s="35">
        <f>+F14</f>
        <v>0</v>
      </c>
      <c r="G71" s="35">
        <f>+G14</f>
        <v>0</v>
      </c>
      <c r="H71" s="35">
        <f>+H14</f>
        <v>643.8735</v>
      </c>
      <c r="I71" s="36">
        <f aca="true" t="shared" si="32" ref="I71:I82">+H71+G71+F71</f>
        <v>643.8735</v>
      </c>
      <c r="J71" s="35">
        <f t="shared" si="30"/>
        <v>0</v>
      </c>
      <c r="K71" s="35">
        <f t="shared" si="30"/>
        <v>0</v>
      </c>
      <c r="L71" s="35">
        <f t="shared" si="30"/>
        <v>3565.8772</v>
      </c>
      <c r="M71" s="37">
        <f aca="true" t="shared" si="33" ref="M71:M82">+L71+K71+J71</f>
        <v>3565.8772</v>
      </c>
    </row>
    <row r="72" spans="1:13" ht="15.75" customHeight="1">
      <c r="A72" s="90" t="str">
        <f aca="true" t="shared" si="34" ref="A72:A83">+A44</f>
        <v>Equitable</v>
      </c>
      <c r="B72" s="91">
        <f aca="true" t="shared" si="35" ref="B72:D74">+B44</f>
        <v>0</v>
      </c>
      <c r="C72" s="91">
        <f t="shared" si="35"/>
        <v>0</v>
      </c>
      <c r="D72" s="91">
        <f t="shared" si="35"/>
        <v>842</v>
      </c>
      <c r="E72" s="92">
        <f t="shared" si="31"/>
        <v>842</v>
      </c>
      <c r="F72" s="91">
        <f aca="true" t="shared" si="36" ref="F72:H74">+F15</f>
        <v>0</v>
      </c>
      <c r="G72" s="91">
        <f t="shared" si="36"/>
        <v>0</v>
      </c>
      <c r="H72" s="91">
        <f t="shared" si="36"/>
        <v>126</v>
      </c>
      <c r="I72" s="92">
        <f t="shared" si="32"/>
        <v>126</v>
      </c>
      <c r="J72" s="91">
        <f aca="true" t="shared" si="37" ref="J72:L73">+F44</f>
        <v>0</v>
      </c>
      <c r="K72" s="91">
        <f t="shared" si="37"/>
        <v>0</v>
      </c>
      <c r="L72" s="91">
        <f t="shared" si="37"/>
        <v>834</v>
      </c>
      <c r="M72" s="103">
        <f t="shared" si="33"/>
        <v>834</v>
      </c>
    </row>
    <row r="73" spans="1:13" ht="15.75" customHeight="1">
      <c r="A73" s="34" t="str">
        <f t="shared" si="34"/>
        <v>ERC-Canada</v>
      </c>
      <c r="B73" s="35">
        <f t="shared" si="35"/>
        <v>5589.933</v>
      </c>
      <c r="C73" s="35">
        <f t="shared" si="35"/>
        <v>9050.6519</v>
      </c>
      <c r="D73" s="35">
        <f t="shared" si="35"/>
        <v>0</v>
      </c>
      <c r="E73" s="36">
        <f t="shared" si="31"/>
        <v>14640.584900000002</v>
      </c>
      <c r="F73" s="35">
        <f t="shared" si="36"/>
        <v>7385.571199999999</v>
      </c>
      <c r="G73" s="35">
        <f t="shared" si="36"/>
        <v>9908.1867</v>
      </c>
      <c r="H73" s="35">
        <f t="shared" si="36"/>
        <v>0</v>
      </c>
      <c r="I73" s="36">
        <f t="shared" si="32"/>
        <v>17293.7579</v>
      </c>
      <c r="J73" s="35">
        <f t="shared" si="37"/>
        <v>11128.7469</v>
      </c>
      <c r="K73" s="35">
        <f t="shared" si="37"/>
        <v>17803.8799</v>
      </c>
      <c r="L73" s="35">
        <f t="shared" si="37"/>
        <v>0</v>
      </c>
      <c r="M73" s="37">
        <f t="shared" si="33"/>
        <v>28932.6268</v>
      </c>
    </row>
    <row r="74" spans="1:13" ht="15.75" customHeight="1">
      <c r="A74" s="90" t="str">
        <f t="shared" si="34"/>
        <v>General &amp; Cologne</v>
      </c>
      <c r="B74" s="91">
        <f t="shared" si="35"/>
        <v>144</v>
      </c>
      <c r="C74" s="91">
        <f t="shared" si="35"/>
        <v>0</v>
      </c>
      <c r="D74" s="91">
        <f t="shared" si="35"/>
        <v>0</v>
      </c>
      <c r="E74" s="92">
        <f>+D74+C74+B74</f>
        <v>144</v>
      </c>
      <c r="F74" s="91">
        <f t="shared" si="36"/>
        <v>41</v>
      </c>
      <c r="G74" s="91">
        <f t="shared" si="36"/>
        <v>0</v>
      </c>
      <c r="H74" s="91">
        <f t="shared" si="36"/>
        <v>0</v>
      </c>
      <c r="I74" s="92">
        <f>+H74+G74+F74</f>
        <v>41</v>
      </c>
      <c r="J74" s="91">
        <f>+F46</f>
        <v>219</v>
      </c>
      <c r="K74" s="91">
        <f>+G46</f>
        <v>0</v>
      </c>
      <c r="L74" s="91">
        <f>+H46</f>
        <v>0</v>
      </c>
      <c r="M74" s="103">
        <f>+L74+K74+J74</f>
        <v>219</v>
      </c>
    </row>
    <row r="75" spans="1:13" ht="15.75" customHeight="1">
      <c r="A75" s="34" t="str">
        <f t="shared" si="34"/>
        <v>Gerling Global</v>
      </c>
      <c r="B75" s="35">
        <f aca="true" t="shared" si="38" ref="B75:D76">+B47</f>
        <v>1670</v>
      </c>
      <c r="C75" s="35">
        <f t="shared" si="38"/>
        <v>0</v>
      </c>
      <c r="D75" s="35">
        <f t="shared" si="38"/>
        <v>340</v>
      </c>
      <c r="E75" s="36">
        <f t="shared" si="31"/>
        <v>2010</v>
      </c>
      <c r="F75" s="35">
        <f aca="true" t="shared" si="39" ref="F75:H80">+F18</f>
        <v>2094</v>
      </c>
      <c r="G75" s="35">
        <f t="shared" si="39"/>
        <v>0</v>
      </c>
      <c r="H75" s="35">
        <f t="shared" si="39"/>
        <v>6</v>
      </c>
      <c r="I75" s="36">
        <f t="shared" si="32"/>
        <v>2100</v>
      </c>
      <c r="J75" s="35">
        <f aca="true" t="shared" si="40" ref="J75:J83">+F47</f>
        <v>3390</v>
      </c>
      <c r="K75" s="35">
        <f aca="true" t="shared" si="41" ref="K75:K82">+G47</f>
        <v>0</v>
      </c>
      <c r="L75" s="35">
        <f aca="true" t="shared" si="42" ref="L75:L82">+H47</f>
        <v>296</v>
      </c>
      <c r="M75" s="37">
        <f t="shared" si="33"/>
        <v>3686</v>
      </c>
    </row>
    <row r="76" spans="1:13" ht="15.75" customHeight="1">
      <c r="A76" s="90" t="str">
        <f t="shared" si="34"/>
        <v>ING Re</v>
      </c>
      <c r="B76" s="91">
        <f t="shared" si="38"/>
        <v>90</v>
      </c>
      <c r="C76" s="91">
        <f t="shared" si="38"/>
        <v>0</v>
      </c>
      <c r="D76" s="91">
        <f t="shared" si="38"/>
        <v>0</v>
      </c>
      <c r="E76" s="92">
        <f t="shared" si="31"/>
        <v>90</v>
      </c>
      <c r="F76" s="91">
        <f t="shared" si="39"/>
        <v>1</v>
      </c>
      <c r="G76" s="91">
        <f t="shared" si="39"/>
        <v>0</v>
      </c>
      <c r="H76" s="91">
        <f t="shared" si="39"/>
        <v>0</v>
      </c>
      <c r="I76" s="92">
        <f t="shared" si="32"/>
        <v>1</v>
      </c>
      <c r="J76" s="91">
        <f t="shared" si="40"/>
        <v>60</v>
      </c>
      <c r="K76" s="91">
        <f t="shared" si="41"/>
        <v>0</v>
      </c>
      <c r="L76" s="91">
        <f t="shared" si="42"/>
        <v>0</v>
      </c>
      <c r="M76" s="103">
        <f t="shared" si="33"/>
        <v>60</v>
      </c>
    </row>
    <row r="77" spans="1:13" ht="15.75" customHeight="1">
      <c r="A77" s="34" t="str">
        <f t="shared" si="34"/>
        <v>Lincoln Re</v>
      </c>
      <c r="B77" s="35">
        <f aca="true" t="shared" si="43" ref="B77:D81">+B49</f>
        <v>15956</v>
      </c>
      <c r="C77" s="35">
        <f t="shared" si="43"/>
        <v>0</v>
      </c>
      <c r="D77" s="35">
        <f t="shared" si="43"/>
        <v>0</v>
      </c>
      <c r="E77" s="36">
        <f t="shared" si="31"/>
        <v>15956</v>
      </c>
      <c r="F77" s="118" t="str">
        <f t="shared" si="39"/>
        <v>Acquired by Swiss Re</v>
      </c>
      <c r="G77" s="119"/>
      <c r="H77" s="119"/>
      <c r="I77" s="120"/>
      <c r="J77" s="118" t="str">
        <f t="shared" si="40"/>
        <v>Acquired by Swiss Re</v>
      </c>
      <c r="K77" s="119"/>
      <c r="L77" s="119"/>
      <c r="M77" s="121"/>
    </row>
    <row r="78" spans="1:13" ht="15.75" customHeight="1">
      <c r="A78" s="90" t="str">
        <f t="shared" si="34"/>
        <v>Manufacturers Life</v>
      </c>
      <c r="B78" s="91">
        <f t="shared" si="43"/>
        <v>0</v>
      </c>
      <c r="C78" s="91">
        <f t="shared" si="43"/>
        <v>2474</v>
      </c>
      <c r="D78" s="91">
        <f t="shared" si="43"/>
        <v>4430</v>
      </c>
      <c r="E78" s="92">
        <f t="shared" si="31"/>
        <v>6904</v>
      </c>
      <c r="F78" s="91">
        <f t="shared" si="39"/>
        <v>0</v>
      </c>
      <c r="G78" s="91">
        <f t="shared" si="39"/>
        <v>14</v>
      </c>
      <c r="H78" s="91">
        <f t="shared" si="39"/>
        <v>649</v>
      </c>
      <c r="I78" s="92">
        <f t="shared" si="32"/>
        <v>663</v>
      </c>
      <c r="J78" s="91">
        <f t="shared" si="40"/>
        <v>0</v>
      </c>
      <c r="K78" s="91">
        <f t="shared" si="41"/>
        <v>2333</v>
      </c>
      <c r="L78" s="91">
        <f t="shared" si="42"/>
        <v>4366</v>
      </c>
      <c r="M78" s="103">
        <f t="shared" si="33"/>
        <v>6699</v>
      </c>
    </row>
    <row r="79" spans="1:13" ht="15.75" customHeight="1">
      <c r="A79" s="34" t="str">
        <f t="shared" si="34"/>
        <v>Munich Re (Canada)</v>
      </c>
      <c r="B79" s="35">
        <f t="shared" si="43"/>
        <v>55556.507300000005</v>
      </c>
      <c r="C79" s="35">
        <f t="shared" si="43"/>
        <v>18594.6502</v>
      </c>
      <c r="D79" s="35">
        <f t="shared" si="43"/>
        <v>8.6203</v>
      </c>
      <c r="E79" s="36">
        <f t="shared" si="31"/>
        <v>74159.77780000001</v>
      </c>
      <c r="F79" s="35">
        <f t="shared" si="39"/>
        <v>20949.8396</v>
      </c>
      <c r="G79" s="35">
        <f t="shared" si="39"/>
        <v>0</v>
      </c>
      <c r="H79" s="35">
        <f t="shared" si="39"/>
        <v>0</v>
      </c>
      <c r="I79" s="36">
        <f t="shared" si="32"/>
        <v>20949.8396</v>
      </c>
      <c r="J79" s="35">
        <f t="shared" si="40"/>
        <v>69551.40209999999</v>
      </c>
      <c r="K79" s="35">
        <f t="shared" si="41"/>
        <v>16295.2874</v>
      </c>
      <c r="L79" s="35">
        <f t="shared" si="42"/>
        <v>8.087299999999999</v>
      </c>
      <c r="M79" s="37">
        <f t="shared" si="33"/>
        <v>85854.77679999999</v>
      </c>
    </row>
    <row r="80" spans="1:13" ht="15.75" customHeight="1">
      <c r="A80" s="90" t="str">
        <f t="shared" si="34"/>
        <v>Optimum Re (CAN)</v>
      </c>
      <c r="B80" s="91">
        <f t="shared" si="43"/>
        <v>6736.4329</v>
      </c>
      <c r="C80" s="91">
        <f t="shared" si="43"/>
        <v>484.063</v>
      </c>
      <c r="D80" s="91">
        <f t="shared" si="43"/>
        <v>0</v>
      </c>
      <c r="E80" s="92">
        <f t="shared" si="31"/>
        <v>7220.4959</v>
      </c>
      <c r="F80" s="91">
        <f t="shared" si="39"/>
        <v>1289.6133</v>
      </c>
      <c r="G80" s="91">
        <f t="shared" si="39"/>
        <v>0</v>
      </c>
      <c r="H80" s="91">
        <f t="shared" si="39"/>
        <v>0</v>
      </c>
      <c r="I80" s="92">
        <f t="shared" si="32"/>
        <v>1289.6133</v>
      </c>
      <c r="J80" s="91">
        <f t="shared" si="40"/>
        <v>7265.5059</v>
      </c>
      <c r="K80" s="91">
        <f t="shared" si="41"/>
        <v>402.4987</v>
      </c>
      <c r="L80" s="91">
        <f t="shared" si="42"/>
        <v>0</v>
      </c>
      <c r="M80" s="103">
        <f t="shared" si="33"/>
        <v>7668.0046</v>
      </c>
    </row>
    <row r="81" spans="1:13" ht="15.75" customHeight="1">
      <c r="A81" s="34" t="str">
        <f t="shared" si="34"/>
        <v>RGA</v>
      </c>
      <c r="B81" s="35">
        <f t="shared" si="43"/>
        <v>2</v>
      </c>
      <c r="C81" s="35">
        <f t="shared" si="43"/>
        <v>0</v>
      </c>
      <c r="D81" s="35">
        <f t="shared" si="43"/>
        <v>0</v>
      </c>
      <c r="E81" s="36">
        <f>+D81+C81+B81</f>
        <v>2</v>
      </c>
      <c r="F81" s="35">
        <f aca="true" t="shared" si="44" ref="F81:H82">+F24</f>
        <v>0</v>
      </c>
      <c r="G81" s="35">
        <f t="shared" si="44"/>
        <v>0</v>
      </c>
      <c r="H81" s="35">
        <f t="shared" si="44"/>
        <v>0</v>
      </c>
      <c r="I81" s="36">
        <f>+H81+G81+F81</f>
        <v>0</v>
      </c>
      <c r="J81" s="35">
        <f t="shared" si="40"/>
        <v>2</v>
      </c>
      <c r="K81" s="35">
        <f t="shared" si="41"/>
        <v>0</v>
      </c>
      <c r="L81" s="35">
        <f t="shared" si="42"/>
        <v>0</v>
      </c>
      <c r="M81" s="37">
        <f>+L81+K81+J81</f>
        <v>2</v>
      </c>
    </row>
    <row r="82" spans="1:13" ht="15.75" customHeight="1">
      <c r="A82" s="90" t="str">
        <f t="shared" si="34"/>
        <v>RGA Re (Canada)</v>
      </c>
      <c r="B82" s="91">
        <f aca="true" t="shared" si="45" ref="B82:D83">+B54</f>
        <v>46437.5561</v>
      </c>
      <c r="C82" s="91">
        <f t="shared" si="45"/>
        <v>5013.036</v>
      </c>
      <c r="D82" s="91">
        <f t="shared" si="45"/>
        <v>1522.4776000000002</v>
      </c>
      <c r="E82" s="92">
        <f t="shared" si="31"/>
        <v>52973.0697</v>
      </c>
      <c r="F82" s="91">
        <f t="shared" si="44"/>
        <v>7918.7109</v>
      </c>
      <c r="G82" s="91">
        <f>+G25</f>
        <v>24.2619</v>
      </c>
      <c r="H82" s="91">
        <f>+H25</f>
        <v>0</v>
      </c>
      <c r="I82" s="92">
        <f t="shared" si="32"/>
        <v>7942.9728000000005</v>
      </c>
      <c r="J82" s="91">
        <f t="shared" si="40"/>
        <v>52649.5672</v>
      </c>
      <c r="K82" s="91">
        <f t="shared" si="41"/>
        <v>21.7735</v>
      </c>
      <c r="L82" s="91">
        <f t="shared" si="42"/>
        <v>1746.8568</v>
      </c>
      <c r="M82" s="103">
        <f t="shared" si="33"/>
        <v>54418.197499999995</v>
      </c>
    </row>
    <row r="83" spans="1:13" ht="15.75" customHeight="1" thickBot="1">
      <c r="A83" s="34" t="str">
        <f t="shared" si="34"/>
        <v>Swiss Re *</v>
      </c>
      <c r="B83" s="35">
        <f t="shared" si="45"/>
        <v>65993.7013</v>
      </c>
      <c r="C83" s="35">
        <f t="shared" si="45"/>
        <v>0</v>
      </c>
      <c r="D83" s="35">
        <f t="shared" si="45"/>
        <v>0</v>
      </c>
      <c r="E83" s="36">
        <f>+D83+C83+B83</f>
        <v>65993.7013</v>
      </c>
      <c r="F83" s="35">
        <f>+F26</f>
        <v>19036.26</v>
      </c>
      <c r="G83" s="35">
        <f>+G26</f>
        <v>25406.564</v>
      </c>
      <c r="H83" s="35">
        <f>+H26</f>
        <v>0</v>
      </c>
      <c r="I83" s="36">
        <f>+H83+G83+F83</f>
        <v>44442.82399999999</v>
      </c>
      <c r="J83" s="35">
        <f t="shared" si="40"/>
        <v>77463.89199999999</v>
      </c>
      <c r="K83" s="35">
        <f>+G55</f>
        <v>25406.564</v>
      </c>
      <c r="L83" s="35">
        <f>+H55</f>
        <v>0</v>
      </c>
      <c r="M83" s="37">
        <f>+L83+K83+J83</f>
        <v>102870.45599999999</v>
      </c>
    </row>
    <row r="84" spans="1:13" ht="15.75" customHeight="1" thickBot="1">
      <c r="A84" s="20" t="s">
        <v>22</v>
      </c>
      <c r="B84" s="21">
        <f aca="true" t="shared" si="46" ref="B84:M84">SUM(B68:B83)</f>
        <v>200376.8306</v>
      </c>
      <c r="C84" s="21">
        <f t="shared" si="46"/>
        <v>35616.4011</v>
      </c>
      <c r="D84" s="21">
        <f t="shared" si="46"/>
        <v>10464.8942</v>
      </c>
      <c r="E84" s="22">
        <f t="shared" si="46"/>
        <v>246458.12589999998</v>
      </c>
      <c r="F84" s="21">
        <f t="shared" si="46"/>
        <v>59176.994999999995</v>
      </c>
      <c r="G84" s="21">
        <f t="shared" si="46"/>
        <v>35353.0126</v>
      </c>
      <c r="H84" s="21">
        <f t="shared" si="46"/>
        <v>1430.8735000000001</v>
      </c>
      <c r="I84" s="21">
        <f t="shared" si="46"/>
        <v>95960.8811</v>
      </c>
      <c r="J84" s="28">
        <f t="shared" si="46"/>
        <v>224427.11409999998</v>
      </c>
      <c r="K84" s="21">
        <f t="shared" si="46"/>
        <v>62263.0035</v>
      </c>
      <c r="L84" s="21">
        <f t="shared" si="46"/>
        <v>10843.821299999998</v>
      </c>
      <c r="M84" s="29">
        <f t="shared" si="46"/>
        <v>297533.9389</v>
      </c>
    </row>
    <row r="85" spans="1:18" ht="15.75" customHeight="1">
      <c r="A85" s="2" t="str">
        <f>+A57</f>
        <v>* 2001 Ordinary Portfolio Amount includes $20,916 of inforce assumed from Lincoln Re.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5"/>
      <c r="O85" s="5"/>
      <c r="P85" s="5"/>
      <c r="Q85" s="5"/>
      <c r="R85" s="5"/>
    </row>
    <row r="86" spans="1:18" ht="15.75" customHeight="1">
      <c r="A86" s="2" t="str">
        <f>+A58</f>
        <v>Canadian Exchange Rate Used: 2000 = .6631 and 2001 = .6221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</sheetData>
  <sheetProtection/>
  <mergeCells count="4">
    <mergeCell ref="F20:I20"/>
    <mergeCell ref="F49:I49"/>
    <mergeCell ref="F77:I77"/>
    <mergeCell ref="J77:M77"/>
  </mergeCells>
  <printOptions/>
  <pageMargins left="0.75" right="0.75" top="1" bottom="1" header="0.5" footer="0.5"/>
  <pageSetup fitToHeight="3" horizontalDpi="600" verticalDpi="600" orientation="landscape" scale="60" r:id="rId1"/>
  <rowBreaks count="2" manualBreakCount="2">
    <brk id="30" max="17" man="1"/>
    <brk id="5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9"/>
  <sheetViews>
    <sheetView view="pageBreakPreview" zoomScale="60" zoomScalePageLayoutView="0" workbookViewId="0" topLeftCell="A5">
      <selection activeCell="A5" sqref="A5"/>
    </sheetView>
  </sheetViews>
  <sheetFormatPr defaultColWidth="9.140625" defaultRowHeight="15.75" customHeight="1"/>
  <cols>
    <col min="1" max="1" width="28.8515625" style="0" bestFit="1" customWidth="1"/>
    <col min="2" max="2" width="11.421875" style="0" bestFit="1" customWidth="1"/>
    <col min="3" max="3" width="9.28125" style="0" bestFit="1" customWidth="1"/>
    <col min="4" max="4" width="9.8515625" style="0" bestFit="1" customWidth="1"/>
    <col min="5" max="5" width="9.421875" style="0" bestFit="1" customWidth="1"/>
    <col min="6" max="7" width="9.8515625" style="0" bestFit="1" customWidth="1"/>
    <col min="8" max="8" width="11.8515625" style="0" bestFit="1" customWidth="1"/>
    <col min="9" max="14" width="9.8515625" style="0" bestFit="1" customWidth="1"/>
    <col min="15" max="16" width="10.421875" style="0" bestFit="1" customWidth="1"/>
    <col min="17" max="17" width="9.7109375" style="0" customWidth="1"/>
    <col min="18" max="18" width="9.8515625" style="0" bestFit="1" customWidth="1"/>
    <col min="19" max="19" width="9.7109375" style="0" bestFit="1" customWidth="1"/>
  </cols>
  <sheetData>
    <row r="1" spans="1:19" ht="15.75" customHeight="1">
      <c r="A1" s="1" t="s">
        <v>25</v>
      </c>
      <c r="B1" s="70">
        <f>+canord!B2</f>
        <v>37375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customHeight="1">
      <c r="A3" s="1"/>
      <c r="B3" s="1"/>
      <c r="C3" s="2" t="s">
        <v>81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customHeight="1" thickBot="1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customHeight="1">
      <c r="A5" s="44" t="s">
        <v>38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6"/>
    </row>
    <row r="6" spans="1:19" ht="15.75" customHeight="1">
      <c r="A6" s="51"/>
      <c r="B6" s="48"/>
      <c r="C6" s="48" t="s">
        <v>50</v>
      </c>
      <c r="D6" s="48"/>
      <c r="E6" s="48"/>
      <c r="F6" s="48"/>
      <c r="G6" s="48"/>
      <c r="H6" s="49"/>
      <c r="I6" s="48"/>
      <c r="J6" s="48" t="s">
        <v>52</v>
      </c>
      <c r="K6" s="48"/>
      <c r="L6" s="48"/>
      <c r="M6" s="48"/>
      <c r="N6" s="63"/>
      <c r="O6" s="64" t="s">
        <v>32</v>
      </c>
      <c r="P6" s="64"/>
      <c r="Q6" s="48"/>
      <c r="R6" s="48"/>
      <c r="S6" s="50"/>
    </row>
    <row r="7" spans="1:19" ht="15.75" customHeight="1">
      <c r="A7" s="51"/>
      <c r="B7" s="48"/>
      <c r="C7" s="48">
        <v>2000</v>
      </c>
      <c r="D7" s="52"/>
      <c r="E7" s="48"/>
      <c r="F7" s="48">
        <v>2001</v>
      </c>
      <c r="G7" s="48"/>
      <c r="H7" s="53" t="s">
        <v>7</v>
      </c>
      <c r="I7" s="48"/>
      <c r="J7" s="48">
        <f>+C7</f>
        <v>2000</v>
      </c>
      <c r="K7" s="52"/>
      <c r="L7" s="48"/>
      <c r="M7" s="48">
        <f>+F7</f>
        <v>2001</v>
      </c>
      <c r="N7" s="63"/>
      <c r="O7" s="62">
        <f>+J7</f>
        <v>2000</v>
      </c>
      <c r="P7" s="65">
        <f>+M7</f>
        <v>2001</v>
      </c>
      <c r="Q7" s="53" t="s">
        <v>29</v>
      </c>
      <c r="R7" s="64" t="s">
        <v>51</v>
      </c>
      <c r="S7" s="66"/>
    </row>
    <row r="8" spans="1:19" ht="15.75" customHeight="1" thickBot="1">
      <c r="A8" s="54" t="s">
        <v>2</v>
      </c>
      <c r="B8" s="57" t="s">
        <v>26</v>
      </c>
      <c r="C8" s="57" t="s">
        <v>27</v>
      </c>
      <c r="D8" s="58" t="s">
        <v>6</v>
      </c>
      <c r="E8" s="57" t="s">
        <v>26</v>
      </c>
      <c r="F8" s="57" t="s">
        <v>27</v>
      </c>
      <c r="G8" s="57" t="s">
        <v>6</v>
      </c>
      <c r="H8" s="59" t="s">
        <v>8</v>
      </c>
      <c r="I8" s="57" t="s">
        <v>26</v>
      </c>
      <c r="J8" s="57" t="s">
        <v>27</v>
      </c>
      <c r="K8" s="58" t="s">
        <v>6</v>
      </c>
      <c r="L8" s="57" t="s">
        <v>26</v>
      </c>
      <c r="M8" s="57" t="s">
        <v>27</v>
      </c>
      <c r="N8" s="67" t="s">
        <v>6</v>
      </c>
      <c r="O8" s="57" t="s">
        <v>28</v>
      </c>
      <c r="P8" s="58" t="s">
        <v>28</v>
      </c>
      <c r="Q8" s="59" t="s">
        <v>27</v>
      </c>
      <c r="R8" s="68">
        <f>+O7</f>
        <v>2000</v>
      </c>
      <c r="S8" s="69">
        <f>+P7</f>
        <v>2001</v>
      </c>
    </row>
    <row r="9" spans="1:19" ht="15.75" customHeight="1" thickTop="1">
      <c r="A9" s="34"/>
      <c r="B9" s="74"/>
      <c r="C9" s="74"/>
      <c r="D9" s="75"/>
      <c r="E9" s="74"/>
      <c r="F9" s="74"/>
      <c r="G9" s="74"/>
      <c r="H9" s="85"/>
      <c r="I9" s="74"/>
      <c r="J9" s="74"/>
      <c r="K9" s="75"/>
      <c r="L9" s="74"/>
      <c r="M9" s="74"/>
      <c r="N9" s="88"/>
      <c r="O9" s="74"/>
      <c r="P9" s="75"/>
      <c r="Q9" s="85"/>
      <c r="R9" s="74"/>
      <c r="S9" s="76"/>
    </row>
    <row r="10" spans="1:19" ht="15.75" customHeight="1">
      <c r="A10" s="34" t="s">
        <v>10</v>
      </c>
      <c r="B10" s="42">
        <v>319</v>
      </c>
      <c r="C10" s="35">
        <v>0</v>
      </c>
      <c r="D10" s="35">
        <f>+C10+B10</f>
        <v>319</v>
      </c>
      <c r="E10" s="42">
        <v>60</v>
      </c>
      <c r="F10" s="35">
        <v>0</v>
      </c>
      <c r="G10" s="35">
        <f>+F10+E10</f>
        <v>60</v>
      </c>
      <c r="H10" s="38">
        <f>IF(+D10&gt;0,(+G10-D10)/D10,0)</f>
        <v>-0.8119122257053292</v>
      </c>
      <c r="I10" s="39">
        <f aca="true" t="shared" si="0" ref="I10:I22">+B10/$B$24</f>
        <v>0.01588199196045601</v>
      </c>
      <c r="J10" s="39">
        <f aca="true" t="shared" si="1" ref="J10:J22">+C10/$C$24</f>
        <v>0</v>
      </c>
      <c r="K10" s="40">
        <f aca="true" t="shared" si="2" ref="K10:K22">+D10/$D$24</f>
        <v>0.015614566554047788</v>
      </c>
      <c r="L10" s="39">
        <f aca="true" t="shared" si="3" ref="L10:L22">+E10/$E$24</f>
        <v>0.0037481259370314842</v>
      </c>
      <c r="M10" s="39">
        <f aca="true" t="shared" si="4" ref="M10:M22">+F10/$F$24</f>
        <v>0</v>
      </c>
      <c r="N10" s="43">
        <f aca="true" t="shared" si="5" ref="N10:N22">+G10/$G$24</f>
        <v>0.0012829559304637886</v>
      </c>
      <c r="O10" s="36">
        <v>2610</v>
      </c>
      <c r="P10" s="36">
        <v>1720</v>
      </c>
      <c r="Q10" s="38">
        <f>IF(+O10&gt;0,(+P10-O10)/O10,0)</f>
        <v>-0.34099616858237547</v>
      </c>
      <c r="R10" s="39">
        <f aca="true" t="shared" si="6" ref="R10:R22">+O10/$O$24</f>
        <v>0.023569345258037375</v>
      </c>
      <c r="S10" s="41">
        <f aca="true" t="shared" si="7" ref="S10:S22">+P10/$P$24</f>
        <v>0.011912099784612615</v>
      </c>
    </row>
    <row r="11" spans="1:102" s="72" customFormat="1" ht="15.75" customHeight="1">
      <c r="A11" s="90" t="s">
        <v>11</v>
      </c>
      <c r="B11" s="107">
        <v>119</v>
      </c>
      <c r="C11" s="91">
        <v>94</v>
      </c>
      <c r="D11" s="91">
        <f>+C11+B11</f>
        <v>213</v>
      </c>
      <c r="E11" s="107">
        <v>128</v>
      </c>
      <c r="F11" s="91">
        <v>0</v>
      </c>
      <c r="G11" s="91">
        <f aca="true" t="shared" si="8" ref="G11:G22">+F11+E11</f>
        <v>128</v>
      </c>
      <c r="H11" s="93">
        <f aca="true" t="shared" si="9" ref="H11:H24">IF(+D11&gt;0,(+G11-D11)/D11,0)</f>
        <v>-0.39906103286384975</v>
      </c>
      <c r="I11" s="94">
        <f t="shared" si="0"/>
        <v>0.005924630229762587</v>
      </c>
      <c r="J11" s="94">
        <f t="shared" si="1"/>
        <v>0.27325581395348836</v>
      </c>
      <c r="K11" s="95">
        <f t="shared" si="2"/>
        <v>0.010426027197530342</v>
      </c>
      <c r="L11" s="94">
        <f t="shared" si="3"/>
        <v>0.0079960019990005</v>
      </c>
      <c r="M11" s="94">
        <f t="shared" si="4"/>
        <v>0</v>
      </c>
      <c r="N11" s="108">
        <f t="shared" si="5"/>
        <v>0.0027369726516560822</v>
      </c>
      <c r="O11" s="92">
        <v>2078</v>
      </c>
      <c r="P11" s="92">
        <v>0</v>
      </c>
      <c r="Q11" s="93">
        <f>IF(+O11&gt;0,(+P11-O11)/O11,0)</f>
        <v>-1</v>
      </c>
      <c r="R11" s="94">
        <f t="shared" si="6"/>
        <v>0.018765172201609833</v>
      </c>
      <c r="S11" s="96">
        <f t="shared" si="7"/>
        <v>0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</row>
    <row r="12" spans="1:19" ht="15.75" customHeight="1">
      <c r="A12" s="34" t="s">
        <v>12</v>
      </c>
      <c r="B12" s="42">
        <v>5</v>
      </c>
      <c r="C12" s="35">
        <v>3</v>
      </c>
      <c r="D12" s="35">
        <f>+C12+B12</f>
        <v>8</v>
      </c>
      <c r="E12" s="42">
        <v>35</v>
      </c>
      <c r="F12" s="35">
        <v>0</v>
      </c>
      <c r="G12" s="35">
        <f t="shared" si="8"/>
        <v>35</v>
      </c>
      <c r="H12" s="38">
        <f t="shared" si="9"/>
        <v>3.375</v>
      </c>
      <c r="I12" s="39">
        <f t="shared" si="0"/>
        <v>0.0002489340432673356</v>
      </c>
      <c r="J12" s="39">
        <f t="shared" si="1"/>
        <v>0.00872093023255814</v>
      </c>
      <c r="K12" s="40">
        <f t="shared" si="2"/>
        <v>0.0003915878759635809</v>
      </c>
      <c r="L12" s="39">
        <f t="shared" si="3"/>
        <v>0.002186406796601699</v>
      </c>
      <c r="M12" s="39">
        <f t="shared" si="4"/>
        <v>0</v>
      </c>
      <c r="N12" s="43">
        <f t="shared" si="5"/>
        <v>0.00074839095943721</v>
      </c>
      <c r="O12" s="36">
        <v>58</v>
      </c>
      <c r="P12" s="36">
        <v>0</v>
      </c>
      <c r="Q12" s="38">
        <f>IF(+O12&gt;0,(+P12-O12)/O12,0)</f>
        <v>-1</v>
      </c>
      <c r="R12" s="39">
        <f t="shared" si="6"/>
        <v>0.0005237632279563861</v>
      </c>
      <c r="S12" s="41">
        <f t="shared" si="7"/>
        <v>0</v>
      </c>
    </row>
    <row r="13" spans="1:102" s="72" customFormat="1" ht="15.75" customHeight="1">
      <c r="A13" s="90" t="s">
        <v>66</v>
      </c>
      <c r="B13" s="109">
        <f>0.6631*7</f>
        <v>4.6417</v>
      </c>
      <c r="C13" s="104">
        <v>0</v>
      </c>
      <c r="D13" s="91">
        <f>+C13+B13</f>
        <v>4.6417</v>
      </c>
      <c r="E13" s="107">
        <v>108</v>
      </c>
      <c r="F13" s="91">
        <v>0</v>
      </c>
      <c r="G13" s="91">
        <f t="shared" si="8"/>
        <v>108</v>
      </c>
      <c r="H13" s="93">
        <f t="shared" si="9"/>
        <v>22.2673373979361</v>
      </c>
      <c r="I13" s="94">
        <f t="shared" si="0"/>
        <v>0.00023109542972679832</v>
      </c>
      <c r="J13" s="94">
        <f t="shared" si="1"/>
        <v>0</v>
      </c>
      <c r="K13" s="95">
        <f t="shared" si="2"/>
        <v>0.00022720418048251918</v>
      </c>
      <c r="L13" s="94">
        <f t="shared" si="3"/>
        <v>0.006746626686656672</v>
      </c>
      <c r="M13" s="94">
        <f t="shared" si="4"/>
        <v>0</v>
      </c>
      <c r="N13" s="108">
        <f t="shared" si="5"/>
        <v>0.0023093206748348192</v>
      </c>
      <c r="O13" s="110">
        <f>0.6631*2600</f>
        <v>1724.06</v>
      </c>
      <c r="P13" s="92">
        <v>1874</v>
      </c>
      <c r="Q13" s="93">
        <f>IF(+O13&gt;0,(+P13-O13)/O13,0)</f>
        <v>0.08696913100472145</v>
      </c>
      <c r="R13" s="94">
        <f t="shared" si="6"/>
        <v>0.015568952255008395</v>
      </c>
      <c r="S13" s="96">
        <f t="shared" si="7"/>
        <v>0.012978648253700023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</row>
    <row r="14" spans="1:19" ht="15.75" customHeight="1">
      <c r="A14" s="34" t="s">
        <v>56</v>
      </c>
      <c r="B14" s="42">
        <v>114</v>
      </c>
      <c r="C14" s="35">
        <v>0</v>
      </c>
      <c r="D14" s="35">
        <f aca="true" t="shared" si="10" ref="D14:D21">+C14+B14</f>
        <v>114</v>
      </c>
      <c r="E14" s="42">
        <v>1149</v>
      </c>
      <c r="F14" s="35">
        <v>0</v>
      </c>
      <c r="G14" s="35">
        <f t="shared" si="8"/>
        <v>1149</v>
      </c>
      <c r="H14" s="38">
        <f t="shared" si="9"/>
        <v>9.078947368421053</v>
      </c>
      <c r="I14" s="39">
        <f t="shared" si="0"/>
        <v>0.005675696186495252</v>
      </c>
      <c r="J14" s="39">
        <f t="shared" si="1"/>
        <v>0</v>
      </c>
      <c r="K14" s="40">
        <f t="shared" si="2"/>
        <v>0.005580127232481028</v>
      </c>
      <c r="L14" s="39">
        <f t="shared" si="3"/>
        <v>0.07177661169415292</v>
      </c>
      <c r="M14" s="39">
        <f t="shared" si="4"/>
        <v>0</v>
      </c>
      <c r="N14" s="43">
        <f t="shared" si="5"/>
        <v>0.02456860606838155</v>
      </c>
      <c r="O14" s="36">
        <v>43196</v>
      </c>
      <c r="P14" s="36">
        <v>43989</v>
      </c>
      <c r="Q14" s="38">
        <f aca="true" t="shared" si="11" ref="Q14:Q22">IF(+O14&gt;0,(+P14-O14)/O14,0)</f>
        <v>0.018358181313084546</v>
      </c>
      <c r="R14" s="39">
        <f t="shared" si="6"/>
        <v>0.3900771792207595</v>
      </c>
      <c r="S14" s="41">
        <f t="shared" si="7"/>
        <v>0.3046519519914676</v>
      </c>
    </row>
    <row r="15" spans="1:102" s="72" customFormat="1" ht="15.75" customHeight="1">
      <c r="A15" s="90" t="s">
        <v>31</v>
      </c>
      <c r="B15" s="107">
        <v>560</v>
      </c>
      <c r="C15" s="91">
        <v>0</v>
      </c>
      <c r="D15" s="91">
        <f t="shared" si="10"/>
        <v>560</v>
      </c>
      <c r="E15" s="107">
        <v>3970</v>
      </c>
      <c r="F15" s="91">
        <v>0</v>
      </c>
      <c r="G15" s="91">
        <f t="shared" si="8"/>
        <v>3970</v>
      </c>
      <c r="H15" s="93">
        <f t="shared" si="9"/>
        <v>6.089285714285714</v>
      </c>
      <c r="I15" s="94">
        <f t="shared" si="0"/>
        <v>0.027880612845941587</v>
      </c>
      <c r="J15" s="94">
        <f t="shared" si="1"/>
        <v>0</v>
      </c>
      <c r="K15" s="95">
        <f t="shared" si="2"/>
        <v>0.02741115131745066</v>
      </c>
      <c r="L15" s="94">
        <f t="shared" si="3"/>
        <v>0.24800099950024987</v>
      </c>
      <c r="M15" s="94">
        <f t="shared" si="4"/>
        <v>0</v>
      </c>
      <c r="N15" s="108">
        <f t="shared" si="5"/>
        <v>0.08488891739902067</v>
      </c>
      <c r="O15" s="92">
        <v>7491</v>
      </c>
      <c r="P15" s="92">
        <v>9789</v>
      </c>
      <c r="Q15" s="93">
        <f>IF(+O15&gt;0,(+P15-O15)/O15,0)</f>
        <v>0.3067681217460953</v>
      </c>
      <c r="R15" s="94">
        <f t="shared" si="6"/>
        <v>0.06764673001071186</v>
      </c>
      <c r="S15" s="96">
        <f t="shared" si="7"/>
        <v>0.06779508418114702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</row>
    <row r="16" spans="1:19" ht="15.75" customHeight="1">
      <c r="A16" s="34" t="s">
        <v>64</v>
      </c>
      <c r="B16" s="42">
        <v>2760</v>
      </c>
      <c r="C16" s="35">
        <v>0</v>
      </c>
      <c r="D16" s="35">
        <f t="shared" si="10"/>
        <v>2760</v>
      </c>
      <c r="E16" s="42">
        <v>60</v>
      </c>
      <c r="F16" s="35">
        <v>0</v>
      </c>
      <c r="G16" s="35">
        <f>+F16+E16</f>
        <v>60</v>
      </c>
      <c r="H16" s="38">
        <f>IF(+D16&gt;0,(+G16-D16)/D16,0)</f>
        <v>-0.9782608695652174</v>
      </c>
      <c r="I16" s="39">
        <f t="shared" si="0"/>
        <v>0.13741159188356925</v>
      </c>
      <c r="J16" s="39">
        <f t="shared" si="1"/>
        <v>0</v>
      </c>
      <c r="K16" s="40">
        <f t="shared" si="2"/>
        <v>0.1350978172074354</v>
      </c>
      <c r="L16" s="39">
        <f t="shared" si="3"/>
        <v>0.0037481259370314842</v>
      </c>
      <c r="M16" s="39">
        <f t="shared" si="4"/>
        <v>0</v>
      </c>
      <c r="N16" s="43">
        <f t="shared" si="5"/>
        <v>0.0012829559304637886</v>
      </c>
      <c r="O16" s="36">
        <v>5375</v>
      </c>
      <c r="P16" s="36">
        <v>5142</v>
      </c>
      <c r="Q16" s="38">
        <f>IF(+O16&gt;0,(+P16-O16)/O16,0)</f>
        <v>-0.04334883720930233</v>
      </c>
      <c r="R16" s="39">
        <f t="shared" si="6"/>
        <v>0.048538402590785776</v>
      </c>
      <c r="S16" s="41">
        <f t="shared" si="7"/>
        <v>0.03561163784446399</v>
      </c>
    </row>
    <row r="17" spans="1:102" s="72" customFormat="1" ht="15.75" customHeight="1">
      <c r="A17" s="90" t="s">
        <v>14</v>
      </c>
      <c r="B17" s="107">
        <v>1121</v>
      </c>
      <c r="C17" s="91">
        <v>0</v>
      </c>
      <c r="D17" s="91">
        <f t="shared" si="10"/>
        <v>1121</v>
      </c>
      <c r="E17" s="107">
        <v>20</v>
      </c>
      <c r="F17" s="91">
        <v>0</v>
      </c>
      <c r="G17" s="91">
        <f t="shared" si="8"/>
        <v>20</v>
      </c>
      <c r="H17" s="93">
        <f t="shared" si="9"/>
        <v>-0.9821587867975022</v>
      </c>
      <c r="I17" s="94">
        <f t="shared" si="0"/>
        <v>0.05581101250053664</v>
      </c>
      <c r="J17" s="94">
        <f t="shared" si="1"/>
        <v>0</v>
      </c>
      <c r="K17" s="95">
        <f t="shared" si="2"/>
        <v>0.05487125111939677</v>
      </c>
      <c r="L17" s="94">
        <f t="shared" si="3"/>
        <v>0.0012493753123438282</v>
      </c>
      <c r="M17" s="94">
        <f t="shared" si="4"/>
        <v>0</v>
      </c>
      <c r="N17" s="108">
        <f t="shared" si="5"/>
        <v>0.00042765197682126285</v>
      </c>
      <c r="O17" s="92">
        <v>3712</v>
      </c>
      <c r="P17" s="92">
        <v>173</v>
      </c>
      <c r="Q17" s="93">
        <f>IF(+O17&gt;0,(+P17-O17)/O17,0)</f>
        <v>-0.9533943965517241</v>
      </c>
      <c r="R17" s="94">
        <f t="shared" si="6"/>
        <v>0.03352084658920871</v>
      </c>
      <c r="S17" s="96">
        <f t="shared" si="7"/>
        <v>0.00119813561787092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</row>
    <row r="18" spans="1:19" ht="15.75" customHeight="1">
      <c r="A18" s="34" t="s">
        <v>70</v>
      </c>
      <c r="B18" s="42">
        <v>0</v>
      </c>
      <c r="C18" s="35">
        <v>0</v>
      </c>
      <c r="D18" s="35">
        <v>0</v>
      </c>
      <c r="E18" s="42">
        <v>605</v>
      </c>
      <c r="F18" s="35">
        <v>0</v>
      </c>
      <c r="G18" s="35">
        <f t="shared" si="8"/>
        <v>605</v>
      </c>
      <c r="H18" s="38">
        <v>1</v>
      </c>
      <c r="I18" s="39">
        <f>+B18/$B$24</f>
        <v>0</v>
      </c>
      <c r="J18" s="39">
        <f>+C18/$C$24</f>
        <v>0</v>
      </c>
      <c r="K18" s="40">
        <f>+D18/$D$24</f>
        <v>0</v>
      </c>
      <c r="L18" s="39">
        <f>+E18/$E$24</f>
        <v>0.0377936031984008</v>
      </c>
      <c r="M18" s="39">
        <f>+F18/$F$24</f>
        <v>0</v>
      </c>
      <c r="N18" s="43">
        <f>+G18/$G$24</f>
        <v>0.012936472298843201</v>
      </c>
      <c r="O18" s="36">
        <v>0</v>
      </c>
      <c r="P18" s="36">
        <v>605</v>
      </c>
      <c r="Q18" s="38">
        <v>1</v>
      </c>
      <c r="R18" s="39">
        <f>+O18/$O$24</f>
        <v>0</v>
      </c>
      <c r="S18" s="41">
        <f>+P18/$P$24</f>
        <v>0.00419001184284339</v>
      </c>
    </row>
    <row r="19" spans="1:102" s="72" customFormat="1" ht="15.75" customHeight="1">
      <c r="A19" s="90" t="s">
        <v>16</v>
      </c>
      <c r="B19" s="107">
        <v>0</v>
      </c>
      <c r="C19" s="91">
        <v>247</v>
      </c>
      <c r="D19" s="91">
        <f t="shared" si="10"/>
        <v>247</v>
      </c>
      <c r="E19" s="107">
        <v>0</v>
      </c>
      <c r="F19" s="91">
        <v>206</v>
      </c>
      <c r="G19" s="91">
        <f t="shared" si="8"/>
        <v>206</v>
      </c>
      <c r="H19" s="93">
        <f t="shared" si="9"/>
        <v>-0.1659919028340081</v>
      </c>
      <c r="I19" s="94">
        <f t="shared" si="0"/>
        <v>0</v>
      </c>
      <c r="J19" s="94">
        <f t="shared" si="1"/>
        <v>0.7180232558139535</v>
      </c>
      <c r="K19" s="95">
        <f t="shared" si="2"/>
        <v>0.01209027567037556</v>
      </c>
      <c r="L19" s="94">
        <f t="shared" si="3"/>
        <v>0</v>
      </c>
      <c r="M19" s="94">
        <f t="shared" si="4"/>
        <v>0.006697226827920283</v>
      </c>
      <c r="N19" s="108">
        <f t="shared" si="5"/>
        <v>0.004404815361259007</v>
      </c>
      <c r="O19" s="92">
        <v>546</v>
      </c>
      <c r="P19" s="92">
        <v>485</v>
      </c>
      <c r="Q19" s="93">
        <f t="shared" si="11"/>
        <v>-0.11172161172161173</v>
      </c>
      <c r="R19" s="94">
        <f t="shared" si="6"/>
        <v>0.004930598663175635</v>
      </c>
      <c r="S19" s="96">
        <f t="shared" si="7"/>
        <v>0.003358935113684371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</row>
    <row r="20" spans="1:19" ht="15.75" customHeight="1">
      <c r="A20" s="34" t="s">
        <v>17</v>
      </c>
      <c r="B20" s="42">
        <v>571</v>
      </c>
      <c r="C20" s="35">
        <v>0</v>
      </c>
      <c r="D20" s="35">
        <f t="shared" si="10"/>
        <v>571</v>
      </c>
      <c r="E20" s="42">
        <v>145</v>
      </c>
      <c r="F20" s="35">
        <v>0</v>
      </c>
      <c r="G20" s="35">
        <f t="shared" si="8"/>
        <v>145</v>
      </c>
      <c r="H20" s="38">
        <f t="shared" si="9"/>
        <v>-0.7460595446584939</v>
      </c>
      <c r="I20" s="39">
        <f t="shared" si="0"/>
        <v>0.028428267741129724</v>
      </c>
      <c r="J20" s="39">
        <f t="shared" si="1"/>
        <v>0</v>
      </c>
      <c r="K20" s="40">
        <f t="shared" si="2"/>
        <v>0.027949584646900585</v>
      </c>
      <c r="L20" s="39">
        <f t="shared" si="3"/>
        <v>0.009057971014492754</v>
      </c>
      <c r="M20" s="39">
        <f t="shared" si="4"/>
        <v>0</v>
      </c>
      <c r="N20" s="43">
        <f t="shared" si="5"/>
        <v>0.0031004768319541558</v>
      </c>
      <c r="O20" s="36">
        <v>3599</v>
      </c>
      <c r="P20" s="36">
        <v>3990</v>
      </c>
      <c r="Q20" s="38">
        <f t="shared" si="11"/>
        <v>0.10864128924701306</v>
      </c>
      <c r="R20" s="39">
        <f t="shared" si="6"/>
        <v>0.032500411334741956</v>
      </c>
      <c r="S20" s="41">
        <f t="shared" si="7"/>
        <v>0.027633301244537403</v>
      </c>
    </row>
    <row r="21" spans="1:102" s="72" customFormat="1" ht="15.75" customHeight="1">
      <c r="A21" s="90" t="s">
        <v>59</v>
      </c>
      <c r="B21" s="107">
        <v>79</v>
      </c>
      <c r="C21" s="91">
        <v>0</v>
      </c>
      <c r="D21" s="91">
        <f t="shared" si="10"/>
        <v>79</v>
      </c>
      <c r="E21" s="97" t="s">
        <v>76</v>
      </c>
      <c r="F21" s="98" t="s">
        <v>76</v>
      </c>
      <c r="G21" s="98" t="s">
        <v>76</v>
      </c>
      <c r="H21" s="111" t="s">
        <v>76</v>
      </c>
      <c r="I21" s="94">
        <f t="shared" si="0"/>
        <v>0.003933157883623902</v>
      </c>
      <c r="J21" s="94">
        <f t="shared" si="1"/>
        <v>0</v>
      </c>
      <c r="K21" s="95">
        <f t="shared" si="2"/>
        <v>0.003866930275140361</v>
      </c>
      <c r="L21" s="97" t="s">
        <v>76</v>
      </c>
      <c r="M21" s="98" t="s">
        <v>76</v>
      </c>
      <c r="N21" s="112" t="s">
        <v>76</v>
      </c>
      <c r="O21" s="92">
        <v>1114</v>
      </c>
      <c r="P21" s="97" t="s">
        <v>76</v>
      </c>
      <c r="Q21" s="111" t="s">
        <v>76</v>
      </c>
      <c r="R21" s="94">
        <f t="shared" si="6"/>
        <v>0.010059866136955415</v>
      </c>
      <c r="S21" s="113" t="s">
        <v>76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</row>
    <row r="22" spans="1:19" ht="15.75" customHeight="1">
      <c r="A22" s="34" t="s">
        <v>72</v>
      </c>
      <c r="B22" s="42">
        <v>14433</v>
      </c>
      <c r="C22" s="35">
        <v>0</v>
      </c>
      <c r="D22" s="35">
        <f>+C22+B22</f>
        <v>14433</v>
      </c>
      <c r="E22" s="42">
        <v>9728</v>
      </c>
      <c r="F22" s="35">
        <v>30553</v>
      </c>
      <c r="G22" s="35">
        <f t="shared" si="8"/>
        <v>40281</v>
      </c>
      <c r="H22" s="38">
        <f t="shared" si="9"/>
        <v>1.7908958636458117</v>
      </c>
      <c r="I22" s="39">
        <f t="shared" si="0"/>
        <v>0.718573009295491</v>
      </c>
      <c r="J22" s="39">
        <f t="shared" si="1"/>
        <v>0</v>
      </c>
      <c r="K22" s="40">
        <f t="shared" si="2"/>
        <v>0.7064734767227954</v>
      </c>
      <c r="L22" s="39">
        <f t="shared" si="3"/>
        <v>0.607696151924038</v>
      </c>
      <c r="M22" s="39">
        <f t="shared" si="4"/>
        <v>0.9933027731720797</v>
      </c>
      <c r="N22" s="43">
        <f t="shared" si="5"/>
        <v>0.8613124639168644</v>
      </c>
      <c r="O22" s="36">
        <v>39234</v>
      </c>
      <c r="P22" s="36">
        <v>76624</v>
      </c>
      <c r="Q22" s="38">
        <f t="shared" si="11"/>
        <v>0.9529999490238059</v>
      </c>
      <c r="R22" s="39">
        <f t="shared" si="6"/>
        <v>0.35429873251104915</v>
      </c>
      <c r="S22" s="41">
        <f t="shared" si="7"/>
        <v>0.5306701941256726</v>
      </c>
    </row>
    <row r="23" spans="1:19" ht="15.75" customHeight="1" thickBot="1">
      <c r="A23" s="8"/>
      <c r="B23" s="11"/>
      <c r="C23" s="11"/>
      <c r="D23" s="11"/>
      <c r="E23" s="19"/>
      <c r="F23" s="11"/>
      <c r="G23" s="11"/>
      <c r="H23" s="7"/>
      <c r="I23" s="13" t="s">
        <v>38</v>
      </c>
      <c r="J23" s="13" t="s">
        <v>38</v>
      </c>
      <c r="K23" s="16" t="s">
        <v>38</v>
      </c>
      <c r="L23" s="13" t="s">
        <v>38</v>
      </c>
      <c r="M23" s="13" t="s">
        <v>38</v>
      </c>
      <c r="N23" s="18" t="s">
        <v>38</v>
      </c>
      <c r="O23" s="11"/>
      <c r="P23" s="12"/>
      <c r="Q23" s="10" t="s">
        <v>38</v>
      </c>
      <c r="R23" s="13" t="s">
        <v>38</v>
      </c>
      <c r="S23" s="17" t="s">
        <v>38</v>
      </c>
    </row>
    <row r="24" spans="1:19" ht="15.75" customHeight="1" thickBot="1">
      <c r="A24" s="20" t="s">
        <v>22</v>
      </c>
      <c r="B24" s="21">
        <f aca="true" t="shared" si="12" ref="B24:G24">SUM(B10:B22)</f>
        <v>20085.6417</v>
      </c>
      <c r="C24" s="21">
        <f t="shared" si="12"/>
        <v>344</v>
      </c>
      <c r="D24" s="22">
        <f t="shared" si="12"/>
        <v>20429.6417</v>
      </c>
      <c r="E24" s="21">
        <f t="shared" si="12"/>
        <v>16008</v>
      </c>
      <c r="F24" s="21">
        <f t="shared" si="12"/>
        <v>30759</v>
      </c>
      <c r="G24" s="21">
        <f t="shared" si="12"/>
        <v>46767</v>
      </c>
      <c r="H24" s="23">
        <f t="shared" si="9"/>
        <v>1.2891737743985985</v>
      </c>
      <c r="I24" s="24">
        <f aca="true" t="shared" si="13" ref="I24:P24">SUM(I10:I22)</f>
        <v>1</v>
      </c>
      <c r="J24" s="24">
        <f t="shared" si="13"/>
        <v>1</v>
      </c>
      <c r="K24" s="25">
        <f t="shared" si="13"/>
        <v>1</v>
      </c>
      <c r="L24" s="24">
        <f t="shared" si="13"/>
        <v>1</v>
      </c>
      <c r="M24" s="24">
        <f t="shared" si="13"/>
        <v>1</v>
      </c>
      <c r="N24" s="26">
        <f t="shared" si="13"/>
        <v>1</v>
      </c>
      <c r="O24" s="21">
        <f t="shared" si="13"/>
        <v>110737.06</v>
      </c>
      <c r="P24" s="21">
        <f t="shared" si="13"/>
        <v>144391</v>
      </c>
      <c r="Q24" s="23">
        <f>(+P24-O24)/O24</f>
        <v>0.3039085559974231</v>
      </c>
      <c r="R24" s="24">
        <f>SUM(R10:R22)</f>
        <v>1</v>
      </c>
      <c r="S24" s="27">
        <f>SUM(S10:S22)</f>
        <v>0.9999999999999999</v>
      </c>
    </row>
    <row r="25" spans="1:19" ht="15.75" customHeight="1">
      <c r="A25" s="1" t="s">
        <v>65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 customHeight="1">
      <c r="A26" s="2" t="s">
        <v>73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 customHeight="1">
      <c r="A30" s="1"/>
      <c r="B30" s="1"/>
      <c r="C30" s="2" t="s">
        <v>82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 customHeight="1" thickBot="1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75" customHeight="1">
      <c r="A32" s="44" t="str">
        <f>+A5</f>
        <v> 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  <row r="33" spans="1:19" ht="15.75" customHeight="1">
      <c r="A33" s="51"/>
      <c r="B33" s="48"/>
      <c r="C33" s="48" t="s">
        <v>53</v>
      </c>
      <c r="D33" s="48"/>
      <c r="E33" s="48"/>
      <c r="F33" s="48"/>
      <c r="G33" s="48"/>
      <c r="H33" s="49"/>
      <c r="I33" s="48"/>
      <c r="J33" s="48" t="s">
        <v>45</v>
      </c>
      <c r="K33" s="48"/>
      <c r="L33" s="48"/>
      <c r="M33" s="48"/>
      <c r="N33" s="63"/>
      <c r="O33" s="64" t="s">
        <v>32</v>
      </c>
      <c r="P33" s="64"/>
      <c r="Q33" s="48"/>
      <c r="R33" s="48"/>
      <c r="S33" s="50"/>
    </row>
    <row r="34" spans="1:19" ht="15.75" customHeight="1">
      <c r="A34" s="51"/>
      <c r="B34" s="48"/>
      <c r="C34" s="48">
        <v>2000</v>
      </c>
      <c r="D34" s="52"/>
      <c r="E34" s="48"/>
      <c r="F34" s="48">
        <v>2001</v>
      </c>
      <c r="G34" s="48"/>
      <c r="H34" s="53" t="s">
        <v>7</v>
      </c>
      <c r="I34" s="48"/>
      <c r="J34" s="48">
        <f>+C34</f>
        <v>2000</v>
      </c>
      <c r="K34" s="52"/>
      <c r="L34" s="48"/>
      <c r="M34" s="48">
        <f>+F34</f>
        <v>2001</v>
      </c>
      <c r="N34" s="63"/>
      <c r="O34" s="62">
        <f>+J34</f>
        <v>2000</v>
      </c>
      <c r="P34" s="65">
        <f>+M34</f>
        <v>2001</v>
      </c>
      <c r="Q34" s="53" t="s">
        <v>29</v>
      </c>
      <c r="R34" s="64" t="s">
        <v>30</v>
      </c>
      <c r="S34" s="66"/>
    </row>
    <row r="35" spans="1:19" ht="15.75" customHeight="1" thickBot="1">
      <c r="A35" s="54" t="s">
        <v>2</v>
      </c>
      <c r="B35" s="57" t="s">
        <v>26</v>
      </c>
      <c r="C35" s="57" t="s">
        <v>27</v>
      </c>
      <c r="D35" s="58" t="s">
        <v>6</v>
      </c>
      <c r="E35" s="57" t="s">
        <v>26</v>
      </c>
      <c r="F35" s="57" t="s">
        <v>27</v>
      </c>
      <c r="G35" s="57" t="s">
        <v>6</v>
      </c>
      <c r="H35" s="59" t="s">
        <v>8</v>
      </c>
      <c r="I35" s="57" t="s">
        <v>26</v>
      </c>
      <c r="J35" s="57" t="s">
        <v>27</v>
      </c>
      <c r="K35" s="58" t="s">
        <v>6</v>
      </c>
      <c r="L35" s="57" t="s">
        <v>26</v>
      </c>
      <c r="M35" s="57" t="s">
        <v>27</v>
      </c>
      <c r="N35" s="67" t="s">
        <v>6</v>
      </c>
      <c r="O35" s="57" t="s">
        <v>28</v>
      </c>
      <c r="P35" s="58" t="s">
        <v>28</v>
      </c>
      <c r="Q35" s="59" t="s">
        <v>27</v>
      </c>
      <c r="R35" s="68">
        <f>+O34</f>
        <v>2000</v>
      </c>
      <c r="S35" s="69">
        <f>+P34</f>
        <v>2001</v>
      </c>
    </row>
    <row r="36" spans="1:19" ht="15.75" customHeight="1" thickTop="1">
      <c r="A36" s="34"/>
      <c r="B36" s="74"/>
      <c r="C36" s="74"/>
      <c r="D36" s="86"/>
      <c r="E36" s="74"/>
      <c r="F36" s="74"/>
      <c r="G36" s="74"/>
      <c r="H36" s="85"/>
      <c r="I36" s="74"/>
      <c r="J36" s="74"/>
      <c r="K36" s="86"/>
      <c r="L36" s="74"/>
      <c r="M36" s="74"/>
      <c r="N36" s="89"/>
      <c r="O36" s="74"/>
      <c r="P36" s="75"/>
      <c r="Q36" s="85"/>
      <c r="R36" s="74"/>
      <c r="S36" s="76"/>
    </row>
    <row r="37" spans="1:19" ht="15.75" customHeight="1">
      <c r="A37" s="90" t="s">
        <v>83</v>
      </c>
      <c r="B37" s="91">
        <v>0</v>
      </c>
      <c r="C37" s="91">
        <v>0</v>
      </c>
      <c r="D37" s="92">
        <f>+C37+B37</f>
        <v>0</v>
      </c>
      <c r="E37" s="91">
        <v>4</v>
      </c>
      <c r="F37" s="91">
        <v>0</v>
      </c>
      <c r="G37" s="91">
        <f>+F37+E37</f>
        <v>4</v>
      </c>
      <c r="H37" s="93">
        <f>IF(+D37&gt;0,(+G37-D37)/D37,0)</f>
        <v>0</v>
      </c>
      <c r="I37" s="94">
        <f>+B37/$B$45</f>
        <v>0</v>
      </c>
      <c r="J37" s="94">
        <f>+C37/$C$45</f>
        <v>0</v>
      </c>
      <c r="K37" s="95">
        <f>+D37/$D$45</f>
        <v>0</v>
      </c>
      <c r="L37" s="94">
        <f>+E37/$E$45</f>
        <v>0.0011047825484129523</v>
      </c>
      <c r="M37" s="94">
        <f>+F37/$F$45</f>
        <v>0</v>
      </c>
      <c r="N37" s="108">
        <f>+G37/$G$45</f>
        <v>0.0006745928515925239</v>
      </c>
      <c r="O37" s="92">
        <v>0</v>
      </c>
      <c r="P37" s="92">
        <v>9</v>
      </c>
      <c r="Q37" s="93">
        <f>IF(+O37&gt;0,(+P37-O37)/O37,0)</f>
        <v>0</v>
      </c>
      <c r="R37" s="94">
        <f>+O37/$O$45</f>
        <v>0</v>
      </c>
      <c r="S37" s="96">
        <f>+P37/$P$45</f>
        <v>0.0004807683216240072</v>
      </c>
    </row>
    <row r="38" spans="1:19" ht="15.75" customHeight="1">
      <c r="A38" s="34" t="s">
        <v>63</v>
      </c>
      <c r="B38" s="35">
        <v>0</v>
      </c>
      <c r="C38" s="35">
        <v>0</v>
      </c>
      <c r="D38" s="36">
        <f aca="true" t="shared" si="14" ref="D38:D43">+C38+B38</f>
        <v>0</v>
      </c>
      <c r="E38" s="35">
        <v>0</v>
      </c>
      <c r="F38" s="35">
        <v>0</v>
      </c>
      <c r="G38" s="35">
        <f aca="true" t="shared" si="15" ref="G38:G43">+F38+E38</f>
        <v>0</v>
      </c>
      <c r="H38" s="38">
        <f>IF(+D38&gt;0,(+G38-D38)/D38,0)</f>
        <v>0</v>
      </c>
      <c r="I38" s="39">
        <f aca="true" t="shared" si="16" ref="I38:I43">+B38/$B$45</f>
        <v>0</v>
      </c>
      <c r="J38" s="39">
        <f aca="true" t="shared" si="17" ref="J38:J43">+C38/$C$45</f>
        <v>0</v>
      </c>
      <c r="K38" s="40">
        <f aca="true" t="shared" si="18" ref="K38:K43">+D38/$D$45</f>
        <v>0</v>
      </c>
      <c r="L38" s="39">
        <f aca="true" t="shared" si="19" ref="L38:L43">+E38/$E$45</f>
        <v>0</v>
      </c>
      <c r="M38" s="39">
        <f aca="true" t="shared" si="20" ref="M38:M43">+F38/$F$45</f>
        <v>0</v>
      </c>
      <c r="N38" s="43">
        <f aca="true" t="shared" si="21" ref="N38:N43">+G38/$G$45</f>
        <v>0</v>
      </c>
      <c r="O38" s="36">
        <f>0.6631*143</f>
        <v>94.8233</v>
      </c>
      <c r="P38" s="36">
        <f>143*0.6221</f>
        <v>88.9603</v>
      </c>
      <c r="Q38" s="38">
        <f>IF(+O38&gt;0,(+P38-O38)/O38,0)</f>
        <v>-0.06183079475192278</v>
      </c>
      <c r="R38" s="39">
        <f aca="true" t="shared" si="22" ref="R38:R43">+O38/$O$45</f>
        <v>0.0033202877388254096</v>
      </c>
      <c r="S38" s="41">
        <f aca="true" t="shared" si="23" ref="S38:S43">+P38/$P$45</f>
        <v>0.004752143791352018</v>
      </c>
    </row>
    <row r="39" spans="1:102" s="72" customFormat="1" ht="15.75" customHeight="1">
      <c r="A39" s="90" t="s">
        <v>16</v>
      </c>
      <c r="B39" s="91">
        <v>0</v>
      </c>
      <c r="C39" s="91">
        <v>0</v>
      </c>
      <c r="D39" s="92">
        <f t="shared" si="14"/>
        <v>0</v>
      </c>
      <c r="E39" s="91">
        <v>0</v>
      </c>
      <c r="F39" s="91">
        <v>4</v>
      </c>
      <c r="G39" s="91">
        <f t="shared" si="15"/>
        <v>4</v>
      </c>
      <c r="H39" s="93">
        <f aca="true" t="shared" si="24" ref="H39:H45">IF(+D39&gt;0,(+G39-D39)/D39,0)</f>
        <v>0</v>
      </c>
      <c r="I39" s="94">
        <f t="shared" si="16"/>
        <v>0</v>
      </c>
      <c r="J39" s="94">
        <f t="shared" si="17"/>
        <v>0</v>
      </c>
      <c r="K39" s="95">
        <f t="shared" si="18"/>
        <v>0</v>
      </c>
      <c r="L39" s="94">
        <f t="shared" si="19"/>
        <v>0</v>
      </c>
      <c r="M39" s="94">
        <f t="shared" si="20"/>
        <v>0.0017324413281674818</v>
      </c>
      <c r="N39" s="108">
        <f t="shared" si="21"/>
        <v>0.0006745928515925239</v>
      </c>
      <c r="O39" s="92">
        <v>7</v>
      </c>
      <c r="P39" s="92">
        <v>11</v>
      </c>
      <c r="Q39" s="93">
        <f aca="true" t="shared" si="25" ref="Q39:Q45">IF(+O39&gt;0,(+P39-O39)/O39,0)</f>
        <v>0.5714285714285714</v>
      </c>
      <c r="R39" s="94">
        <f t="shared" si="22"/>
        <v>0.0002451086829057612</v>
      </c>
      <c r="S39" s="96">
        <f t="shared" si="23"/>
        <v>0.0005876057264293421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</row>
    <row r="40" spans="1:19" ht="15.75" customHeight="1">
      <c r="A40" s="34" t="s">
        <v>35</v>
      </c>
      <c r="B40" s="35">
        <f>1239*0.6631</f>
        <v>821.5809</v>
      </c>
      <c r="C40" s="35">
        <f>3965*0.6631</f>
        <v>2629.1915</v>
      </c>
      <c r="D40" s="36">
        <f t="shared" si="14"/>
        <v>3450.7724</v>
      </c>
      <c r="E40" s="35">
        <f>1908*0.6221</f>
        <v>1186.9668</v>
      </c>
      <c r="F40" s="35">
        <f>3703*0.6221</f>
        <v>2303.6363</v>
      </c>
      <c r="G40" s="35">
        <f t="shared" si="15"/>
        <v>3490.6031000000003</v>
      </c>
      <c r="H40" s="38">
        <f t="shared" si="24"/>
        <v>0.011542546242690603</v>
      </c>
      <c r="I40" s="39">
        <f t="shared" si="16"/>
        <v>0.5621597096188747</v>
      </c>
      <c r="J40" s="39">
        <f t="shared" si="17"/>
        <v>0.9952309236947792</v>
      </c>
      <c r="K40" s="40">
        <f t="shared" si="18"/>
        <v>0.8409825468648997</v>
      </c>
      <c r="L40" s="39">
        <f t="shared" si="19"/>
        <v>0.32783505154639175</v>
      </c>
      <c r="M40" s="39">
        <f t="shared" si="20"/>
        <v>0.997728682796706</v>
      </c>
      <c r="N40" s="43">
        <f t="shared" si="21"/>
        <v>0.588683974751676</v>
      </c>
      <c r="O40" s="36">
        <f>0.6631*32591</f>
        <v>21611.0921</v>
      </c>
      <c r="P40" s="36">
        <f>18144*0.6221</f>
        <v>11287.3824</v>
      </c>
      <c r="Q40" s="38">
        <f t="shared" si="25"/>
        <v>-0.4777042109778432</v>
      </c>
      <c r="R40" s="39">
        <f t="shared" si="22"/>
        <v>0.7567237601123001</v>
      </c>
      <c r="S40" s="41">
        <f t="shared" si="23"/>
        <v>0.6029573213307065</v>
      </c>
    </row>
    <row r="41" spans="1:102" s="72" customFormat="1" ht="15.75" customHeight="1">
      <c r="A41" s="90" t="s">
        <v>36</v>
      </c>
      <c r="B41" s="91">
        <f>0.6631*541</f>
        <v>358.7371</v>
      </c>
      <c r="C41" s="91">
        <f>0.6631*19</f>
        <v>12.5989</v>
      </c>
      <c r="D41" s="92">
        <f t="shared" si="14"/>
        <v>371.336</v>
      </c>
      <c r="E41" s="91">
        <f>2910*0.6221</f>
        <v>1810.311</v>
      </c>
      <c r="F41" s="91">
        <f>2*0.6221</f>
        <v>1.2442</v>
      </c>
      <c r="G41" s="91">
        <f t="shared" si="15"/>
        <v>1811.5552</v>
      </c>
      <c r="H41" s="93">
        <f t="shared" si="24"/>
        <v>3.878479867290001</v>
      </c>
      <c r="I41" s="94">
        <f t="shared" si="16"/>
        <v>0.24546279491833028</v>
      </c>
      <c r="J41" s="94">
        <f t="shared" si="17"/>
        <v>0.004769076305220884</v>
      </c>
      <c r="K41" s="95">
        <f t="shared" si="18"/>
        <v>0.09049773755656108</v>
      </c>
      <c r="L41" s="94">
        <f t="shared" si="19"/>
        <v>0.5</v>
      </c>
      <c r="M41" s="94">
        <f t="shared" si="20"/>
        <v>0.0005388758751264952</v>
      </c>
      <c r="N41" s="108">
        <f t="shared" si="21"/>
        <v>0.3055155470463163</v>
      </c>
      <c r="O41" s="92">
        <f>1422*0.6631</f>
        <v>942.9282000000001</v>
      </c>
      <c r="P41" s="92">
        <f>3905*0.6221</f>
        <v>2429.3005</v>
      </c>
      <c r="Q41" s="93">
        <f t="shared" si="25"/>
        <v>1.5763366712332918</v>
      </c>
      <c r="R41" s="94">
        <f t="shared" si="22"/>
        <v>0.033017127025242884</v>
      </c>
      <c r="S41" s="96">
        <f t="shared" si="23"/>
        <v>0.12977008045615127</v>
      </c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</row>
    <row r="42" spans="1:102" s="73" customFormat="1" ht="15.75" customHeight="1">
      <c r="A42" s="34" t="s">
        <v>37</v>
      </c>
      <c r="B42" s="35">
        <f>399*0.6631</f>
        <v>264.5769</v>
      </c>
      <c r="C42" s="35">
        <v>0</v>
      </c>
      <c r="D42" s="36">
        <f t="shared" si="14"/>
        <v>264.5769</v>
      </c>
      <c r="E42" s="35">
        <f>0.6221*1002</f>
        <v>623.3442</v>
      </c>
      <c r="F42" s="35">
        <v>0</v>
      </c>
      <c r="G42" s="35">
        <f t="shared" si="15"/>
        <v>623.3442</v>
      </c>
      <c r="H42" s="38">
        <f t="shared" si="24"/>
        <v>1.3560038688184795</v>
      </c>
      <c r="I42" s="39">
        <f t="shared" si="16"/>
        <v>0.1810344827586207</v>
      </c>
      <c r="J42" s="39">
        <f t="shared" si="17"/>
        <v>0</v>
      </c>
      <c r="K42" s="40">
        <f t="shared" si="18"/>
        <v>0.06447963800904977</v>
      </c>
      <c r="L42" s="39">
        <f t="shared" si="19"/>
        <v>0.17216494845360825</v>
      </c>
      <c r="M42" s="39">
        <f t="shared" si="20"/>
        <v>0</v>
      </c>
      <c r="N42" s="43">
        <f t="shared" si="21"/>
        <v>0.10512588535041514</v>
      </c>
      <c r="O42" s="36">
        <f>934*0.6631</f>
        <v>619.3354</v>
      </c>
      <c r="P42" s="36">
        <f>0.6221*1396</f>
        <v>868.4516</v>
      </c>
      <c r="Q42" s="38">
        <f t="shared" si="25"/>
        <v>0.4022314887862052</v>
      </c>
      <c r="R42" s="39">
        <f t="shared" si="22"/>
        <v>0.02168635488155897</v>
      </c>
      <c r="S42" s="41">
        <f t="shared" si="23"/>
        <v>0.0463915575715204</v>
      </c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</row>
    <row r="43" spans="1:102" s="72" customFormat="1" ht="15.75" customHeight="1">
      <c r="A43" s="90" t="s">
        <v>57</v>
      </c>
      <c r="B43" s="91">
        <f>25*0.6631</f>
        <v>16.5775</v>
      </c>
      <c r="C43" s="91">
        <v>0</v>
      </c>
      <c r="D43" s="92">
        <f t="shared" si="14"/>
        <v>16.5775</v>
      </c>
      <c r="E43" s="91">
        <v>0</v>
      </c>
      <c r="F43" s="91">
        <v>0</v>
      </c>
      <c r="G43" s="91">
        <f t="shared" si="15"/>
        <v>0</v>
      </c>
      <c r="H43" s="93">
        <f t="shared" si="24"/>
        <v>-1</v>
      </c>
      <c r="I43" s="94">
        <f t="shared" si="16"/>
        <v>0.011343012704174229</v>
      </c>
      <c r="J43" s="94">
        <f t="shared" si="17"/>
        <v>0</v>
      </c>
      <c r="K43" s="95">
        <f t="shared" si="18"/>
        <v>0.004040077569489334</v>
      </c>
      <c r="L43" s="94">
        <f t="shared" si="19"/>
        <v>0</v>
      </c>
      <c r="M43" s="94">
        <f t="shared" si="20"/>
        <v>0</v>
      </c>
      <c r="N43" s="108">
        <f t="shared" si="21"/>
        <v>0</v>
      </c>
      <c r="O43" s="92">
        <f>0.6631*7968</f>
        <v>5283.5808</v>
      </c>
      <c r="P43" s="92">
        <f>0.6221*6486</f>
        <v>4034.9406</v>
      </c>
      <c r="Q43" s="93">
        <f t="shared" si="25"/>
        <v>-0.23632461530634677</v>
      </c>
      <c r="R43" s="94">
        <f t="shared" si="22"/>
        <v>0.18500736155916686</v>
      </c>
      <c r="S43" s="96">
        <f t="shared" si="23"/>
        <v>0.2155412911238405</v>
      </c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</row>
    <row r="44" spans="1:19" ht="15.75" customHeight="1" thickBot="1">
      <c r="A44" s="8"/>
      <c r="B44" s="11"/>
      <c r="C44" s="11"/>
      <c r="D44" s="12"/>
      <c r="E44" s="11"/>
      <c r="F44" s="11"/>
      <c r="G44" s="11"/>
      <c r="H44" s="7"/>
      <c r="I44" s="13" t="s">
        <v>38</v>
      </c>
      <c r="J44" s="13" t="s">
        <v>38</v>
      </c>
      <c r="K44" s="16" t="s">
        <v>38</v>
      </c>
      <c r="L44" s="13" t="s">
        <v>38</v>
      </c>
      <c r="M44" s="13" t="s">
        <v>38</v>
      </c>
      <c r="N44" s="18" t="s">
        <v>38</v>
      </c>
      <c r="O44" s="11"/>
      <c r="P44" s="12"/>
      <c r="Q44" s="10" t="s">
        <v>38</v>
      </c>
      <c r="R44" s="13" t="s">
        <v>38</v>
      </c>
      <c r="S44" s="14" t="s">
        <v>38</v>
      </c>
    </row>
    <row r="45" spans="1:19" ht="15.75" customHeight="1" thickBot="1">
      <c r="A45" s="20" t="s">
        <v>22</v>
      </c>
      <c r="B45" s="21">
        <f aca="true" t="shared" si="26" ref="B45:G45">SUM(B39:B43)</f>
        <v>1461.4724</v>
      </c>
      <c r="C45" s="21">
        <f t="shared" si="26"/>
        <v>2641.7904</v>
      </c>
      <c r="D45" s="22">
        <f t="shared" si="26"/>
        <v>4103.2628</v>
      </c>
      <c r="E45" s="21">
        <f t="shared" si="26"/>
        <v>3620.622</v>
      </c>
      <c r="F45" s="21">
        <f t="shared" si="26"/>
        <v>2308.8805</v>
      </c>
      <c r="G45" s="21">
        <f t="shared" si="26"/>
        <v>5929.5025000000005</v>
      </c>
      <c r="H45" s="23">
        <f t="shared" si="24"/>
        <v>0.4450701280941596</v>
      </c>
      <c r="I45" s="24">
        <f aca="true" t="shared" si="27" ref="I45:N45">SUM(I39:I43)</f>
        <v>0.9999999999999999</v>
      </c>
      <c r="J45" s="24">
        <f t="shared" si="27"/>
        <v>1</v>
      </c>
      <c r="K45" s="25">
        <f t="shared" si="27"/>
        <v>0.9999999999999999</v>
      </c>
      <c r="L45" s="24">
        <f t="shared" si="27"/>
        <v>1</v>
      </c>
      <c r="M45" s="24">
        <f t="shared" si="27"/>
        <v>1</v>
      </c>
      <c r="N45" s="26">
        <f t="shared" si="27"/>
        <v>1</v>
      </c>
      <c r="O45" s="21">
        <f>SUM(O38:O43)</f>
        <v>28558.7598</v>
      </c>
      <c r="P45" s="21">
        <f>SUM(P38:P43)</f>
        <v>18720.0354</v>
      </c>
      <c r="Q45" s="23">
        <f t="shared" si="25"/>
        <v>-0.34450811130811076</v>
      </c>
      <c r="R45" s="24">
        <f>SUM(R38:R43)</f>
        <v>1</v>
      </c>
      <c r="S45" s="27">
        <f>SUM(S38:S43)</f>
        <v>0.9999999999999999</v>
      </c>
    </row>
    <row r="46" spans="1:20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 customHeight="1">
      <c r="A47" s="2" t="str">
        <f>+canord!A58</f>
        <v>Canadian Exchange Rate Used: 2000 = .6631 and 2001 = .6221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</sheetData>
  <sheetProtection/>
  <printOptions/>
  <pageMargins left="0.75" right="0.75" top="1" bottom="1" header="0.5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MARC-Life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david bruggeman</dc:creator>
  <cp:keywords/>
  <dc:description/>
  <cp:lastModifiedBy>Sullivan Carol - Atlanta-MARC</cp:lastModifiedBy>
  <cp:lastPrinted>2002-05-01T12:05:48Z</cp:lastPrinted>
  <dcterms:created xsi:type="dcterms:W3CDTF">1998-03-27T18:48:13Z</dcterms:created>
  <dcterms:modified xsi:type="dcterms:W3CDTF">2019-10-03T15:28:14Z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5d0447-72b7-4595-8ee5-b32b4892557e_Enabled">
    <vt:lpwstr>True</vt:lpwstr>
  </property>
  <property fmtid="{D5CDD505-2E9C-101B-9397-08002B2CF9AE}" pid="3" name="MSIP_Label_f45d0447-72b7-4595-8ee5-b32b4892557e_SiteId">
    <vt:lpwstr>582259a1-dcaa-4cca-b1cf-e60d3f045ecd</vt:lpwstr>
  </property>
  <property fmtid="{D5CDD505-2E9C-101B-9397-08002B2CF9AE}" pid="4" name="MSIP_Label_f45d0447-72b7-4595-8ee5-b32b4892557e_Owner">
    <vt:lpwstr>csullivan@munichre.com</vt:lpwstr>
  </property>
  <property fmtid="{D5CDD505-2E9C-101B-9397-08002B2CF9AE}" pid="5" name="MSIP_Label_f45d0447-72b7-4595-8ee5-b32b4892557e_SetDate">
    <vt:lpwstr>2019-10-03T15:28:03.5001809Z</vt:lpwstr>
  </property>
  <property fmtid="{D5CDD505-2E9C-101B-9397-08002B2CF9AE}" pid="6" name="MSIP_Label_f45d0447-72b7-4595-8ee5-b32b4892557e_Name">
    <vt:lpwstr>Public unrestricted (C1)</vt:lpwstr>
  </property>
  <property fmtid="{D5CDD505-2E9C-101B-9397-08002B2CF9AE}" pid="7" name="MSIP_Label_f45d0447-72b7-4595-8ee5-b32b4892557e_Application">
    <vt:lpwstr>Microsoft Azure Information Protection</vt:lpwstr>
  </property>
  <property fmtid="{D5CDD505-2E9C-101B-9397-08002B2CF9AE}" pid="8" name="MSIP_Label_f45d0447-72b7-4595-8ee5-b32b4892557e_ActionId">
    <vt:lpwstr>d4df8c8f-c4a2-4115-95b4-d238e3921c1e</vt:lpwstr>
  </property>
  <property fmtid="{D5CDD505-2E9C-101B-9397-08002B2CF9AE}" pid="9" name="MSIP_Label_f45d0447-72b7-4595-8ee5-b32b4892557e_Extended_MSFT_Method">
    <vt:lpwstr>Manual</vt:lpwstr>
  </property>
  <property fmtid="{D5CDD505-2E9C-101B-9397-08002B2CF9AE}" pid="10" name="Sensitivity">
    <vt:lpwstr>Public unrestricted (C1)</vt:lpwstr>
  </property>
</Properties>
</file>