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760" windowWidth="11340" windowHeight="6555" activeTab="0"/>
  </bookViews>
  <sheets>
    <sheet name="usord " sheetId="1" r:id="rId1"/>
    <sheet name="canord1" sheetId="2" r:id="rId2"/>
    <sheet name="group" sheetId="3" r:id="rId3"/>
  </sheets>
  <definedNames>
    <definedName name="_xlnm.Print_Area" localSheetId="1">'canord1'!$A$67:$M$97</definedName>
    <definedName name="_xlnm.Print_Area" localSheetId="2">'group'!$A$3:$S$52</definedName>
    <definedName name="_xlnm.Print_Area" localSheetId="0">'usord '!$A$85:$M$123</definedName>
  </definedNames>
  <calcPr fullCalcOnLoad="1"/>
</workbook>
</file>

<file path=xl/sharedStrings.xml><?xml version="1.0" encoding="utf-8"?>
<sst xmlns="http://schemas.openxmlformats.org/spreadsheetml/2006/main" count="326" uniqueCount="81">
  <si>
    <t>FileName</t>
  </si>
  <si>
    <t>Date</t>
  </si>
  <si>
    <t>Company</t>
  </si>
  <si>
    <t>Recur.</t>
  </si>
  <si>
    <t>Port.</t>
  </si>
  <si>
    <t>Retro.</t>
  </si>
  <si>
    <t>Total</t>
  </si>
  <si>
    <t>Percentage</t>
  </si>
  <si>
    <t>Increase</t>
  </si>
  <si>
    <t xml:space="preserve">        Market Share Percentages</t>
  </si>
  <si>
    <t>Allianz</t>
  </si>
  <si>
    <t>AUL</t>
  </si>
  <si>
    <t>BMA</t>
  </si>
  <si>
    <t>CNA</t>
  </si>
  <si>
    <t>Cologne</t>
  </si>
  <si>
    <t>Crown</t>
  </si>
  <si>
    <t>Equitable</t>
  </si>
  <si>
    <t>Gerling Global</t>
  </si>
  <si>
    <t>Guardian</t>
  </si>
  <si>
    <t>Life RE</t>
  </si>
  <si>
    <t>Manufacturers Life</t>
  </si>
  <si>
    <t>Munich American Re</t>
  </si>
  <si>
    <t>Mutual Group</t>
  </si>
  <si>
    <t>Optimum Re (CAN)</t>
  </si>
  <si>
    <t>Optimum Re (US)</t>
  </si>
  <si>
    <t>Phoenix Home Life</t>
  </si>
  <si>
    <t>Reassurance Co. of Hannover</t>
  </si>
  <si>
    <t>RGA</t>
  </si>
  <si>
    <t>Security Life</t>
  </si>
  <si>
    <t>Sun Life</t>
  </si>
  <si>
    <t>Transamerica Re</t>
  </si>
  <si>
    <t>Winterthur/Republic Vanguard</t>
  </si>
  <si>
    <t>World-Wide Re</t>
  </si>
  <si>
    <t>TOTALS</t>
  </si>
  <si>
    <t>U.S. ORDINARY REINSURANCE</t>
  </si>
  <si>
    <t>U.S. ORDINARY REINSURANCE ASSUMED MARKET SHARE PERCENTAGES FOR 1996 AND 1997 ( AMOUNTS IN $U.S. MILLIONS)</t>
  </si>
  <si>
    <t>CANADIAN ORDINARY REINSURANCE ASSUMED MARKET SHARE PERCENTAGES FOR 1996 AND 1997 ( AMOUNTS IN $U.S. MILLIONS)</t>
  </si>
  <si>
    <t>CANADIAN ORDINARY REINSURANCE</t>
  </si>
  <si>
    <t>Date:</t>
  </si>
  <si>
    <t>New</t>
  </si>
  <si>
    <t>Incr.</t>
  </si>
  <si>
    <t>Amount</t>
  </si>
  <si>
    <t>Pct.</t>
  </si>
  <si>
    <t>Market Share</t>
  </si>
  <si>
    <t xml:space="preserve">CNA </t>
  </si>
  <si>
    <t>Employers/ERC</t>
  </si>
  <si>
    <t>Life Re</t>
  </si>
  <si>
    <t>Group In Force</t>
  </si>
  <si>
    <t>U.S. GROUP REINSURANCE ASSUMED AND IN FORCE MARKET SHARE PERCENTAGES FOR 1996 AND 1997 (AMTOUNTS IN $U.S. MILLIONS)</t>
  </si>
  <si>
    <t>CANADIAN GROUP REINSURANCE ASSUMED AND IN FORCE MARKET SHARE PERCENTAGES FOR 1996 AND 1997 (AMTOUNTS IN $U.S. MILLIONS)</t>
  </si>
  <si>
    <t>U.S. ORDINARY REINSURANCE IN FORCE MARKET SHARE PERCENTAGES FOR 1996 AND 1997 ( AMOUNTS IN $U.S. MILLIONS)</t>
  </si>
  <si>
    <t>CANADIAN ORDINARY REINSURANCE IN FORCE MARKET SHARE PERCENTAGES FOR 1996 AND 1997 ( AMOUNTS IN $U.S. MILLIONS)</t>
  </si>
  <si>
    <t>Lincoln Re</t>
  </si>
  <si>
    <t>Munich Re (Canada)</t>
  </si>
  <si>
    <t>Munich  Re (Canada)</t>
  </si>
  <si>
    <t>Optimum Re (Canada)</t>
  </si>
  <si>
    <t>RGA Re (Canada)</t>
  </si>
  <si>
    <t>Swiss Re (incl. M&amp;G)</t>
  </si>
  <si>
    <t xml:space="preserve"> </t>
  </si>
  <si>
    <t>resurvey 1997</t>
  </si>
  <si>
    <t>FileName:</t>
  </si>
  <si>
    <t>Canadian Exchange Rate Used: 1996 =  .7300 and 1997 =  .6966</t>
  </si>
  <si>
    <t xml:space="preserve">Canadian Exchange Rate Used: 1996 = .7300 and 1997 = .6966 </t>
  </si>
  <si>
    <t>Canadian Exchange Rate Used: 1996 = .7300  &amp; 1997 = .6966</t>
  </si>
  <si>
    <t xml:space="preserve">         Ordinary Reinsurance In Force</t>
  </si>
  <si>
    <t xml:space="preserve">        Ordinary Reinsurance Assumed</t>
  </si>
  <si>
    <t xml:space="preserve">          Ordinary Reinsurance In Force</t>
  </si>
  <si>
    <t xml:space="preserve">          Market Share Percentages</t>
  </si>
  <si>
    <t xml:space="preserve">         Ordinary Reinsurance Assumed</t>
  </si>
  <si>
    <t xml:space="preserve">            Market Share Percentages</t>
  </si>
  <si>
    <t xml:space="preserve">      Ordinary Reinsurance Assumed</t>
  </si>
  <si>
    <t xml:space="preserve">       Ordinary Reinsurance In Force</t>
  </si>
  <si>
    <t xml:space="preserve">        Ordinary Reinsurance In Force</t>
  </si>
  <si>
    <t xml:space="preserve">           Ordinary Reinsurance In Force</t>
  </si>
  <si>
    <t xml:space="preserve">         Group Reinsurance Assumed</t>
  </si>
  <si>
    <t xml:space="preserve">  Market Share</t>
  </si>
  <si>
    <t xml:space="preserve">           Market Share Percentages</t>
  </si>
  <si>
    <t xml:space="preserve">          Group Reinsurance Assumed</t>
  </si>
  <si>
    <t>CIGNA Re</t>
  </si>
  <si>
    <t>Life Re*</t>
  </si>
  <si>
    <t>*Note: Life Re was unable to break down its business into the various categories and reported all business as recurring.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</si>
</sst>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57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</borders>
  <cellStyleXfs count="61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0" fontId="1" fillId="0" borderId="1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0" fontId="1" fillId="0" borderId="17" xfId="0" applyNumberFormat="1" applyFont="1" applyBorder="1" applyAlignment="1">
      <alignment/>
    </xf>
    <xf numFmtId="10" fontId="1" fillId="0" borderId="14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10" fontId="1" fillId="0" borderId="26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164" fontId="1" fillId="0" borderId="27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1" fillId="0" borderId="14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10" fontId="1" fillId="0" borderId="30" xfId="0" applyNumberFormat="1" applyFont="1" applyBorder="1" applyAlignment="1">
      <alignment/>
    </xf>
    <xf numFmtId="10" fontId="1" fillId="0" borderId="3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Continuous"/>
    </xf>
    <xf numFmtId="0" fontId="1" fillId="0" borderId="34" xfId="0" applyFont="1" applyBorder="1" applyAlignment="1">
      <alignment horizontal="center"/>
    </xf>
    <xf numFmtId="9" fontId="1" fillId="0" borderId="19" xfId="0" applyNumberFormat="1" applyFont="1" applyBorder="1" applyAlignment="1">
      <alignment/>
    </xf>
    <xf numFmtId="9" fontId="1" fillId="0" borderId="22" xfId="0" applyNumberFormat="1" applyFont="1" applyBorder="1" applyAlignment="1">
      <alignment/>
    </xf>
    <xf numFmtId="10" fontId="1" fillId="0" borderId="33" xfId="0" applyNumberFormat="1" applyFont="1" applyBorder="1" applyAlignment="1">
      <alignment/>
    </xf>
    <xf numFmtId="164" fontId="1" fillId="0" borderId="35" xfId="0" applyNumberFormat="1" applyFont="1" applyBorder="1" applyAlignment="1">
      <alignment/>
    </xf>
    <xf numFmtId="0" fontId="1" fillId="0" borderId="36" xfId="0" applyFont="1" applyBorder="1" applyAlignment="1">
      <alignment/>
    </xf>
    <xf numFmtId="0" fontId="1" fillId="0" borderId="16" xfId="0" applyFont="1" applyBorder="1" applyAlignment="1" quotePrefix="1">
      <alignment horizontal="left"/>
    </xf>
    <xf numFmtId="0" fontId="3" fillId="0" borderId="0" xfId="0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26"/>
  <sheetViews>
    <sheetView tabSelected="1" zoomScalePageLayoutView="0" workbookViewId="0" topLeftCell="A113">
      <selection activeCell="A124" sqref="A124"/>
    </sheetView>
  </sheetViews>
  <sheetFormatPr defaultColWidth="9.140625" defaultRowHeight="12.75"/>
  <cols>
    <col min="1" max="1" width="29.140625" style="0" bestFit="1" customWidth="1"/>
    <col min="2" max="2" width="10.140625" style="0" bestFit="1" customWidth="1"/>
    <col min="3" max="4" width="9.28125" style="0" bestFit="1" customWidth="1"/>
    <col min="5" max="7" width="10.140625" style="0" bestFit="1" customWidth="1"/>
    <col min="8" max="8" width="9.28125" style="0" bestFit="1" customWidth="1"/>
    <col min="9" max="9" width="10.140625" style="0" bestFit="1" customWidth="1"/>
    <col min="10" max="10" width="11.7109375" style="0" bestFit="1" customWidth="1"/>
    <col min="13" max="13" width="10.140625" style="0" bestFit="1" customWidth="1"/>
  </cols>
  <sheetData>
    <row r="1" spans="1:74" ht="14.25">
      <c r="A1" s="1" t="s">
        <v>60</v>
      </c>
      <c r="B1" s="1" t="s">
        <v>59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4.25">
      <c r="A2" s="1" t="s">
        <v>38</v>
      </c>
      <c r="B2" s="3">
        <f ca="1">TODAY()</f>
        <v>43741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5.75" thickBot="1">
      <c r="A4" s="1"/>
      <c r="B4" s="1"/>
      <c r="C4" s="4" t="s">
        <v>35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4.25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4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4.25">
      <c r="A7" s="8" t="s">
        <v>61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4.25">
      <c r="A8" s="8"/>
      <c r="B8" s="9"/>
      <c r="C8" s="9"/>
      <c r="D8" s="9" t="s">
        <v>68</v>
      </c>
      <c r="E8" s="9"/>
      <c r="F8" s="9"/>
      <c r="G8" s="9"/>
      <c r="H8" s="9"/>
      <c r="I8" s="9"/>
      <c r="J8" s="11"/>
      <c r="K8" s="9"/>
      <c r="L8" s="9"/>
      <c r="M8" s="9" t="s">
        <v>67</v>
      </c>
      <c r="N8" s="9"/>
      <c r="O8" s="9"/>
      <c r="P8" s="9"/>
      <c r="Q8" s="9"/>
      <c r="R8" s="10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4" ht="14.25">
      <c r="A9" s="12"/>
      <c r="B9" s="9"/>
      <c r="C9" s="9">
        <v>1996</v>
      </c>
      <c r="D9" s="9"/>
      <c r="E9" s="13"/>
      <c r="F9" s="9"/>
      <c r="G9" s="9">
        <v>1997</v>
      </c>
      <c r="H9" s="9"/>
      <c r="I9" s="13"/>
      <c r="J9" s="14" t="s">
        <v>7</v>
      </c>
      <c r="K9" s="9"/>
      <c r="L9" s="9">
        <v>1996</v>
      </c>
      <c r="M9" s="9"/>
      <c r="N9" s="13"/>
      <c r="O9" s="9"/>
      <c r="P9" s="9">
        <v>1997</v>
      </c>
      <c r="Q9" s="9"/>
      <c r="R9" s="10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4" ht="15" thickBot="1">
      <c r="A10" s="15" t="s">
        <v>2</v>
      </c>
      <c r="B10" s="16" t="s">
        <v>3</v>
      </c>
      <c r="C10" s="16" t="s">
        <v>4</v>
      </c>
      <c r="D10" s="16" t="s">
        <v>5</v>
      </c>
      <c r="E10" s="17" t="s">
        <v>6</v>
      </c>
      <c r="F10" s="18" t="s">
        <v>3</v>
      </c>
      <c r="G10" s="18" t="s">
        <v>4</v>
      </c>
      <c r="H10" s="18" t="s">
        <v>5</v>
      </c>
      <c r="I10" s="19" t="s">
        <v>6</v>
      </c>
      <c r="J10" s="20" t="s">
        <v>8</v>
      </c>
      <c r="K10" s="18" t="s">
        <v>3</v>
      </c>
      <c r="L10" s="18" t="s">
        <v>4</v>
      </c>
      <c r="M10" s="18" t="s">
        <v>5</v>
      </c>
      <c r="N10" s="19" t="s">
        <v>6</v>
      </c>
      <c r="O10" s="18" t="s">
        <v>3</v>
      </c>
      <c r="P10" s="18" t="s">
        <v>4</v>
      </c>
      <c r="Q10" s="18" t="s">
        <v>5</v>
      </c>
      <c r="R10" s="21" t="s">
        <v>6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15" thickTop="1">
      <c r="A11" s="12"/>
      <c r="B11" s="9"/>
      <c r="C11" s="9"/>
      <c r="D11" s="9"/>
      <c r="E11" s="13" t="s">
        <v>58</v>
      </c>
      <c r="F11" s="9"/>
      <c r="G11" s="9"/>
      <c r="H11" s="9"/>
      <c r="I11" s="13" t="s">
        <v>58</v>
      </c>
      <c r="J11" s="22" t="s">
        <v>58</v>
      </c>
      <c r="K11" s="9"/>
      <c r="L11" s="9"/>
      <c r="M11" s="9"/>
      <c r="N11" s="13"/>
      <c r="O11" s="9"/>
      <c r="P11" s="9"/>
      <c r="Q11" s="9"/>
      <c r="R11" s="10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4.25">
      <c r="A12" s="12" t="s">
        <v>10</v>
      </c>
      <c r="B12" s="23">
        <v>19294</v>
      </c>
      <c r="C12" s="23">
        <v>0</v>
      </c>
      <c r="D12" s="23">
        <v>1024</v>
      </c>
      <c r="E12" s="24">
        <f aca="true" t="shared" si="0" ref="E12:E38">+B12+C12+D12</f>
        <v>20318</v>
      </c>
      <c r="F12" s="23">
        <v>27870</v>
      </c>
      <c r="G12" s="23">
        <v>0</v>
      </c>
      <c r="H12" s="23">
        <v>20</v>
      </c>
      <c r="I12" s="24">
        <f aca="true" t="shared" si="1" ref="I12:I38">+F12+G12+H12</f>
        <v>27890</v>
      </c>
      <c r="J12" s="22">
        <f aca="true" t="shared" si="2" ref="J12:J39">IF(+E12&gt;0,(+I12-E12)/E12,0)</f>
        <v>0.37267447583423563</v>
      </c>
      <c r="K12" s="25">
        <f aca="true" t="shared" si="3" ref="K12:K38">+B12/$B$39</f>
        <v>0.05505654124729119</v>
      </c>
      <c r="L12" s="25">
        <f aca="true" t="shared" si="4" ref="L12:L38">+C12/$C$39</f>
        <v>0</v>
      </c>
      <c r="M12" s="25">
        <f aca="true" t="shared" si="5" ref="M12:M38">+D12/$D$39</f>
        <v>0.029282191680540443</v>
      </c>
      <c r="N12" s="26">
        <f aca="true" t="shared" si="6" ref="N12:N38">+E12/$E$39</f>
        <v>0.04421123526774497</v>
      </c>
      <c r="O12" s="25">
        <f aca="true" t="shared" si="7" ref="O12:O38">+F12/$F$39</f>
        <v>0.05468426481784694</v>
      </c>
      <c r="P12" s="25">
        <f aca="true" t="shared" si="8" ref="P12:P38">+G12/$G$39</f>
        <v>0</v>
      </c>
      <c r="Q12" s="25">
        <f aca="true" t="shared" si="9" ref="Q12:Q38">+H12/$H$39</f>
        <v>0.0005195614901023536</v>
      </c>
      <c r="R12" s="27">
        <f aca="true" t="shared" si="10" ref="R12:R38">+I12/$I$39</f>
        <v>0.04004801701238614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4.25">
      <c r="A13" s="12" t="s">
        <v>11</v>
      </c>
      <c r="B13" s="23">
        <v>14259</v>
      </c>
      <c r="C13" s="23">
        <v>0</v>
      </c>
      <c r="D13" s="23">
        <v>35</v>
      </c>
      <c r="E13" s="24">
        <f t="shared" si="0"/>
        <v>14294</v>
      </c>
      <c r="F13" s="23">
        <v>25603</v>
      </c>
      <c r="G13" s="23">
        <v>0</v>
      </c>
      <c r="H13" s="23">
        <v>12</v>
      </c>
      <c r="I13" s="24">
        <f t="shared" si="1"/>
        <v>25615</v>
      </c>
      <c r="J13" s="22">
        <f t="shared" si="2"/>
        <v>0.7920106338323772</v>
      </c>
      <c r="K13" s="25">
        <f t="shared" si="3"/>
        <v>0.04068887849306132</v>
      </c>
      <c r="L13" s="25">
        <f t="shared" si="4"/>
        <v>0</v>
      </c>
      <c r="M13" s="25">
        <f t="shared" si="5"/>
        <v>0.0010008561609559721</v>
      </c>
      <c r="N13" s="26">
        <f t="shared" si="6"/>
        <v>0.031103228512508442</v>
      </c>
      <c r="O13" s="25">
        <f t="shared" si="7"/>
        <v>0.05023614037069735</v>
      </c>
      <c r="P13" s="25">
        <f t="shared" si="8"/>
        <v>0</v>
      </c>
      <c r="Q13" s="25">
        <f t="shared" si="9"/>
        <v>0.00031173689406141216</v>
      </c>
      <c r="R13" s="27">
        <f t="shared" si="10"/>
        <v>0.03678128202840699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4.25">
      <c r="A14" s="12" t="s">
        <v>12</v>
      </c>
      <c r="B14" s="23">
        <v>17399</v>
      </c>
      <c r="C14" s="23">
        <v>0</v>
      </c>
      <c r="D14" s="23">
        <v>0</v>
      </c>
      <c r="E14" s="24">
        <f t="shared" si="0"/>
        <v>17399</v>
      </c>
      <c r="F14" s="23">
        <v>20132</v>
      </c>
      <c r="G14" s="23">
        <v>0</v>
      </c>
      <c r="H14" s="23">
        <v>0</v>
      </c>
      <c r="I14" s="24">
        <f t="shared" si="1"/>
        <v>20132</v>
      </c>
      <c r="J14" s="22">
        <f t="shared" si="2"/>
        <v>0.15707799298810277</v>
      </c>
      <c r="K14" s="25">
        <f t="shared" si="3"/>
        <v>0.0496490495056297</v>
      </c>
      <c r="L14" s="25">
        <f t="shared" si="4"/>
        <v>0</v>
      </c>
      <c r="M14" s="25">
        <f t="shared" si="5"/>
        <v>0</v>
      </c>
      <c r="N14" s="26">
        <f t="shared" si="6"/>
        <v>0.03785959653624838</v>
      </c>
      <c r="O14" s="25">
        <f t="shared" si="7"/>
        <v>0.03950138569475761</v>
      </c>
      <c r="P14" s="25">
        <f t="shared" si="8"/>
        <v>0</v>
      </c>
      <c r="Q14" s="25">
        <f t="shared" si="9"/>
        <v>0</v>
      </c>
      <c r="R14" s="27">
        <f t="shared" si="10"/>
        <v>0.02890809173515087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14.25">
      <c r="A15" s="12" t="s">
        <v>78</v>
      </c>
      <c r="B15" s="23">
        <v>1392</v>
      </c>
      <c r="C15" s="23">
        <v>0</v>
      </c>
      <c r="D15" s="23">
        <v>121</v>
      </c>
      <c r="E15" s="24">
        <f t="shared" si="0"/>
        <v>1513</v>
      </c>
      <c r="F15" s="23">
        <v>1015</v>
      </c>
      <c r="G15" s="23">
        <v>0</v>
      </c>
      <c r="H15" s="23">
        <v>271</v>
      </c>
      <c r="I15" s="24">
        <f t="shared" si="1"/>
        <v>1286</v>
      </c>
      <c r="J15" s="22">
        <f t="shared" si="2"/>
        <v>-0.15003304692663583</v>
      </c>
      <c r="K15" s="25">
        <f t="shared" si="3"/>
        <v>0.003972152245062161</v>
      </c>
      <c r="L15" s="25">
        <f t="shared" si="4"/>
        <v>0</v>
      </c>
      <c r="M15" s="25">
        <f t="shared" si="5"/>
        <v>0.003460102727876361</v>
      </c>
      <c r="N15" s="26">
        <f t="shared" si="6"/>
        <v>0.003292233436366676</v>
      </c>
      <c r="O15" s="25">
        <f t="shared" si="7"/>
        <v>0.001991551086835832</v>
      </c>
      <c r="P15" s="25">
        <f t="shared" si="8"/>
        <v>0</v>
      </c>
      <c r="Q15" s="25">
        <f t="shared" si="9"/>
        <v>0.0070400581908868914</v>
      </c>
      <c r="R15" s="27">
        <f t="shared" si="10"/>
        <v>0.0018466027206141477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ht="14.25">
      <c r="A16" s="12" t="s">
        <v>13</v>
      </c>
      <c r="B16" s="23">
        <v>9269</v>
      </c>
      <c r="C16" s="23">
        <v>0</v>
      </c>
      <c r="D16" s="23">
        <v>2404</v>
      </c>
      <c r="E16" s="24">
        <f t="shared" si="0"/>
        <v>11673</v>
      </c>
      <c r="F16" s="23">
        <v>9473</v>
      </c>
      <c r="G16" s="23">
        <v>0</v>
      </c>
      <c r="H16" s="23">
        <v>5716</v>
      </c>
      <c r="I16" s="24">
        <f t="shared" si="1"/>
        <v>15189</v>
      </c>
      <c r="J16" s="22">
        <f t="shared" si="2"/>
        <v>0.3012079157029041</v>
      </c>
      <c r="K16" s="25">
        <f t="shared" si="3"/>
        <v>0.02644962583296061</v>
      </c>
      <c r="L16" s="25">
        <f t="shared" si="4"/>
        <v>0</v>
      </c>
      <c r="M16" s="25">
        <f t="shared" si="5"/>
        <v>0.06874452031251876</v>
      </c>
      <c r="N16" s="26">
        <f t="shared" si="6"/>
        <v>0.02540002703417595</v>
      </c>
      <c r="O16" s="25">
        <f t="shared" si="7"/>
        <v>0.01858715610403531</v>
      </c>
      <c r="P16" s="25">
        <f t="shared" si="8"/>
        <v>0</v>
      </c>
      <c r="Q16" s="25">
        <f t="shared" si="9"/>
        <v>0.14849067387125267</v>
      </c>
      <c r="R16" s="27">
        <f t="shared" si="10"/>
        <v>0.021810302273256834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4.25" customHeight="1">
      <c r="A17" s="12" t="s">
        <v>14</v>
      </c>
      <c r="B17" s="23">
        <v>11899</v>
      </c>
      <c r="C17" s="23">
        <v>475</v>
      </c>
      <c r="D17" s="23">
        <v>0</v>
      </c>
      <c r="E17" s="24">
        <f t="shared" si="0"/>
        <v>12374</v>
      </c>
      <c r="F17" s="23">
        <v>14934</v>
      </c>
      <c r="G17" s="23">
        <v>8835</v>
      </c>
      <c r="H17" s="23">
        <v>0</v>
      </c>
      <c r="I17" s="24">
        <f t="shared" si="1"/>
        <v>23769</v>
      </c>
      <c r="J17" s="22">
        <f t="shared" si="2"/>
        <v>0.9208824955551964</v>
      </c>
      <c r="K17" s="25">
        <f t="shared" si="3"/>
        <v>0.03395448244539846</v>
      </c>
      <c r="L17" s="25">
        <f t="shared" si="4"/>
        <v>0.006405360329162702</v>
      </c>
      <c r="M17" s="25">
        <f t="shared" si="5"/>
        <v>0</v>
      </c>
      <c r="N17" s="26">
        <f t="shared" si="6"/>
        <v>0.02692537775386732</v>
      </c>
      <c r="O17" s="25">
        <f t="shared" si="7"/>
        <v>0.0293022895870013</v>
      </c>
      <c r="P17" s="25">
        <f t="shared" si="8"/>
        <v>0.059588445169862475</v>
      </c>
      <c r="Q17" s="25">
        <f t="shared" si="9"/>
        <v>0</v>
      </c>
      <c r="R17" s="27">
        <f t="shared" si="10"/>
        <v>0.03413055992712105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4.25">
      <c r="A18" s="12" t="s">
        <v>15</v>
      </c>
      <c r="B18" s="23">
        <f>1338*0.73</f>
        <v>976.74</v>
      </c>
      <c r="C18" s="23">
        <v>0</v>
      </c>
      <c r="D18" s="23">
        <v>0</v>
      </c>
      <c r="E18" s="24">
        <f t="shared" si="0"/>
        <v>976.74</v>
      </c>
      <c r="F18" s="23">
        <f>5145*0.6966</f>
        <v>3584.007</v>
      </c>
      <c r="G18" s="23">
        <v>0</v>
      </c>
      <c r="H18" s="23">
        <v>0</v>
      </c>
      <c r="I18" s="24">
        <f t="shared" si="1"/>
        <v>3584.007</v>
      </c>
      <c r="J18" s="22">
        <f t="shared" si="2"/>
        <v>2.669356225812396</v>
      </c>
      <c r="K18" s="25">
        <f t="shared" si="3"/>
        <v>0.0027871838964382296</v>
      </c>
      <c r="L18" s="25">
        <f t="shared" si="4"/>
        <v>0</v>
      </c>
      <c r="M18" s="25">
        <f t="shared" si="5"/>
        <v>0</v>
      </c>
      <c r="N18" s="26">
        <f t="shared" si="6"/>
        <v>0.0021253510156224635</v>
      </c>
      <c r="O18" s="25">
        <f t="shared" si="7"/>
        <v>0.007032249296627813</v>
      </c>
      <c r="P18" s="25">
        <f t="shared" si="8"/>
        <v>0</v>
      </c>
      <c r="Q18" s="25">
        <f t="shared" si="9"/>
        <v>0</v>
      </c>
      <c r="R18" s="27">
        <f t="shared" si="10"/>
        <v>0.005146374087791718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4.25">
      <c r="A19" s="56" t="s">
        <v>45</v>
      </c>
      <c r="B19" s="23">
        <f>6550+4097</f>
        <v>10647</v>
      </c>
      <c r="C19" s="23">
        <v>5642</v>
      </c>
      <c r="D19" s="23">
        <v>5917</v>
      </c>
      <c r="E19" s="24">
        <f t="shared" si="0"/>
        <v>22206</v>
      </c>
      <c r="F19" s="23">
        <v>23757</v>
      </c>
      <c r="G19" s="23">
        <v>64973</v>
      </c>
      <c r="H19" s="23">
        <v>126</v>
      </c>
      <c r="I19" s="24">
        <f t="shared" si="1"/>
        <v>88856</v>
      </c>
      <c r="J19" s="22">
        <f t="shared" si="2"/>
        <v>3.0014410519679364</v>
      </c>
      <c r="K19" s="25">
        <f t="shared" si="3"/>
        <v>0.030381828270960365</v>
      </c>
      <c r="L19" s="25">
        <f t="shared" si="4"/>
        <v>0.07608219574133887</v>
      </c>
      <c r="M19" s="25">
        <f t="shared" si="5"/>
        <v>0.16920188298218533</v>
      </c>
      <c r="N19" s="26">
        <f t="shared" si="6"/>
        <v>0.048319455180408734</v>
      </c>
      <c r="O19" s="25">
        <f t="shared" si="7"/>
        <v>0.04661406814774273</v>
      </c>
      <c r="P19" s="25">
        <f t="shared" si="8"/>
        <v>0.4382161910607215</v>
      </c>
      <c r="Q19" s="25">
        <f t="shared" si="9"/>
        <v>0.0032732373876448277</v>
      </c>
      <c r="R19" s="27">
        <f t="shared" si="10"/>
        <v>0.1275907708731654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ht="14.25">
      <c r="A20" s="12" t="s">
        <v>16</v>
      </c>
      <c r="B20" s="23">
        <v>0</v>
      </c>
      <c r="C20" s="23">
        <v>0</v>
      </c>
      <c r="D20" s="23">
        <v>6987</v>
      </c>
      <c r="E20" s="24">
        <f t="shared" si="0"/>
        <v>6987</v>
      </c>
      <c r="F20" s="23">
        <v>0</v>
      </c>
      <c r="G20" s="23">
        <v>0</v>
      </c>
      <c r="H20" s="23">
        <v>9816</v>
      </c>
      <c r="I20" s="24">
        <f t="shared" si="1"/>
        <v>9816</v>
      </c>
      <c r="J20" s="22">
        <f t="shared" si="2"/>
        <v>0.40489480463718336</v>
      </c>
      <c r="K20" s="25">
        <f t="shared" si="3"/>
        <v>0</v>
      </c>
      <c r="L20" s="25">
        <f t="shared" si="4"/>
        <v>0</v>
      </c>
      <c r="M20" s="25">
        <f t="shared" si="5"/>
        <v>0.19979948561712507</v>
      </c>
      <c r="N20" s="26">
        <f t="shared" si="6"/>
        <v>0.01520346002636746</v>
      </c>
      <c r="O20" s="25">
        <f t="shared" si="7"/>
        <v>0</v>
      </c>
      <c r="P20" s="25">
        <f t="shared" si="8"/>
        <v>0</v>
      </c>
      <c r="Q20" s="25">
        <f t="shared" si="9"/>
        <v>0.25500077934223514</v>
      </c>
      <c r="R20" s="27">
        <f t="shared" si="10"/>
        <v>0.0140950640012041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4.25">
      <c r="A21" s="12" t="s">
        <v>17</v>
      </c>
      <c r="B21" s="23">
        <v>11899</v>
      </c>
      <c r="C21" s="23">
        <v>0</v>
      </c>
      <c r="D21" s="23">
        <v>281</v>
      </c>
      <c r="E21" s="24">
        <f t="shared" si="0"/>
        <v>12180</v>
      </c>
      <c r="F21" s="23">
        <v>13217</v>
      </c>
      <c r="G21" s="23">
        <v>0</v>
      </c>
      <c r="H21" s="23">
        <v>276</v>
      </c>
      <c r="I21" s="24">
        <f t="shared" si="1"/>
        <v>13493</v>
      </c>
      <c r="J21" s="22">
        <f t="shared" si="2"/>
        <v>0.10779967159277504</v>
      </c>
      <c r="K21" s="25">
        <f t="shared" si="3"/>
        <v>0.03395448244539846</v>
      </c>
      <c r="L21" s="25">
        <f t="shared" si="4"/>
        <v>0</v>
      </c>
      <c r="M21" s="25">
        <f t="shared" si="5"/>
        <v>0.008035445177960805</v>
      </c>
      <c r="N21" s="26">
        <f t="shared" si="6"/>
        <v>0.026503240750129622</v>
      </c>
      <c r="O21" s="25">
        <f t="shared" si="7"/>
        <v>0.025933330753408073</v>
      </c>
      <c r="P21" s="25">
        <f t="shared" si="8"/>
        <v>0</v>
      </c>
      <c r="Q21" s="25">
        <f t="shared" si="9"/>
        <v>0.00716994856341248</v>
      </c>
      <c r="R21" s="27">
        <f t="shared" si="10"/>
        <v>0.019374969291793696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4.25">
      <c r="A22" s="12" t="s">
        <v>18</v>
      </c>
      <c r="B22" s="23">
        <v>0</v>
      </c>
      <c r="C22" s="23">
        <v>58380</v>
      </c>
      <c r="D22" s="23">
        <v>12</v>
      </c>
      <c r="E22" s="24">
        <f t="shared" si="0"/>
        <v>58392</v>
      </c>
      <c r="F22" s="23">
        <v>0</v>
      </c>
      <c r="G22" s="23">
        <v>28628</v>
      </c>
      <c r="H22" s="23">
        <v>155</v>
      </c>
      <c r="I22" s="24">
        <f t="shared" si="1"/>
        <v>28783</v>
      </c>
      <c r="J22" s="22">
        <f t="shared" si="2"/>
        <v>-0.5070728866968078</v>
      </c>
      <c r="K22" s="25">
        <f t="shared" si="3"/>
        <v>0</v>
      </c>
      <c r="L22" s="25">
        <f t="shared" si="4"/>
        <v>0.7872524968768811</v>
      </c>
      <c r="M22" s="25">
        <f t="shared" si="5"/>
        <v>0.0003431506837563333</v>
      </c>
      <c r="N22" s="26">
        <f t="shared" si="6"/>
        <v>0.12705888619717315</v>
      </c>
      <c r="O22" s="25">
        <f t="shared" si="7"/>
        <v>0</v>
      </c>
      <c r="P22" s="25">
        <f t="shared" si="8"/>
        <v>0.19308409828215314</v>
      </c>
      <c r="Q22" s="25">
        <f t="shared" si="9"/>
        <v>0.00402660154829324</v>
      </c>
      <c r="R22" s="27">
        <f t="shared" si="10"/>
        <v>0.041330300239064546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14.25">
      <c r="A23" s="56" t="s">
        <v>79</v>
      </c>
      <c r="B23" s="23">
        <v>29298</v>
      </c>
      <c r="C23" s="23">
        <v>0</v>
      </c>
      <c r="D23" s="23">
        <v>0</v>
      </c>
      <c r="E23" s="24">
        <f t="shared" si="0"/>
        <v>29298</v>
      </c>
      <c r="F23" s="23">
        <v>51088</v>
      </c>
      <c r="G23" s="23">
        <v>0</v>
      </c>
      <c r="H23" s="23">
        <v>0</v>
      </c>
      <c r="I23" s="24">
        <f t="shared" si="1"/>
        <v>51088</v>
      </c>
      <c r="J23" s="22">
        <f t="shared" si="2"/>
        <v>0.7437367738412178</v>
      </c>
      <c r="K23" s="25">
        <f t="shared" si="3"/>
        <v>0.08360353195102815</v>
      </c>
      <c r="L23" s="25">
        <f t="shared" si="4"/>
        <v>0</v>
      </c>
      <c r="M23" s="25">
        <f t="shared" si="5"/>
        <v>0</v>
      </c>
      <c r="N23" s="26">
        <f t="shared" si="6"/>
        <v>0.06375139142013939</v>
      </c>
      <c r="O23" s="25">
        <f t="shared" si="7"/>
        <v>0.10024075066430443</v>
      </c>
      <c r="P23" s="25">
        <f t="shared" si="8"/>
        <v>0</v>
      </c>
      <c r="Q23" s="25">
        <f t="shared" si="9"/>
        <v>0</v>
      </c>
      <c r="R23" s="27">
        <f t="shared" si="10"/>
        <v>0.07335866235671507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14.25">
      <c r="A24" s="12" t="s">
        <v>52</v>
      </c>
      <c r="B24" s="23">
        <v>29646</v>
      </c>
      <c r="C24" s="23">
        <v>0</v>
      </c>
      <c r="D24" s="23">
        <v>0</v>
      </c>
      <c r="E24" s="24">
        <f t="shared" si="0"/>
        <v>29646</v>
      </c>
      <c r="F24" s="23">
        <v>39897</v>
      </c>
      <c r="G24" s="23">
        <v>0</v>
      </c>
      <c r="H24" s="23">
        <v>0</v>
      </c>
      <c r="I24" s="24">
        <f t="shared" si="1"/>
        <v>39897</v>
      </c>
      <c r="J24" s="22">
        <f t="shared" si="2"/>
        <v>0.34578020643594415</v>
      </c>
      <c r="K24" s="25">
        <f t="shared" si="3"/>
        <v>0.0845965700122937</v>
      </c>
      <c r="L24" s="25">
        <f t="shared" si="4"/>
        <v>0</v>
      </c>
      <c r="M24" s="25">
        <f t="shared" si="5"/>
        <v>0</v>
      </c>
      <c r="N24" s="26">
        <f t="shared" si="6"/>
        <v>0.06450862687014308</v>
      </c>
      <c r="O24" s="25">
        <f t="shared" si="7"/>
        <v>0.07828267360737852</v>
      </c>
      <c r="P24" s="25">
        <f t="shared" si="8"/>
        <v>0</v>
      </c>
      <c r="Q24" s="25">
        <f t="shared" si="9"/>
        <v>0</v>
      </c>
      <c r="R24" s="27">
        <f t="shared" si="10"/>
        <v>0.05728919809046862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4.25">
      <c r="A25" s="12" t="s">
        <v>20</v>
      </c>
      <c r="B25" s="23">
        <v>0</v>
      </c>
      <c r="C25" s="23">
        <f>2568*0.73</f>
        <v>1874.6399999999999</v>
      </c>
      <c r="D25" s="23">
        <f>16022*0.73</f>
        <v>11696.06</v>
      </c>
      <c r="E25" s="24">
        <f t="shared" si="0"/>
        <v>13570.699999999999</v>
      </c>
      <c r="F25" s="23">
        <v>0</v>
      </c>
      <c r="G25" s="23">
        <v>5535</v>
      </c>
      <c r="H25" s="23">
        <v>13104</v>
      </c>
      <c r="I25" s="24">
        <f t="shared" si="1"/>
        <v>18639</v>
      </c>
      <c r="J25" s="22">
        <f t="shared" si="2"/>
        <v>0.37347373385308064</v>
      </c>
      <c r="K25" s="25">
        <f t="shared" si="3"/>
        <v>0</v>
      </c>
      <c r="L25" s="25">
        <f t="shared" si="4"/>
        <v>0.025279462499919088</v>
      </c>
      <c r="M25" s="25">
        <f t="shared" si="5"/>
        <v>0.3344592488545916</v>
      </c>
      <c r="N25" s="26">
        <f t="shared" si="6"/>
        <v>0.029529353797026602</v>
      </c>
      <c r="O25" s="25">
        <f t="shared" si="7"/>
        <v>0</v>
      </c>
      <c r="P25" s="25">
        <f t="shared" si="8"/>
        <v>0.03733130096380179</v>
      </c>
      <c r="Q25" s="25">
        <f t="shared" si="9"/>
        <v>0.3404166883150621</v>
      </c>
      <c r="R25" s="27">
        <f t="shared" si="10"/>
        <v>0.026764252029181257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4.25">
      <c r="A26" s="12" t="s">
        <v>21</v>
      </c>
      <c r="B26" s="23">
        <v>12037</v>
      </c>
      <c r="C26" s="23">
        <v>0</v>
      </c>
      <c r="D26" s="23">
        <v>30</v>
      </c>
      <c r="E26" s="24">
        <f t="shared" si="0"/>
        <v>12067</v>
      </c>
      <c r="F26" s="23">
        <v>17937</v>
      </c>
      <c r="G26" s="23">
        <v>0</v>
      </c>
      <c r="H26" s="23">
        <v>0</v>
      </c>
      <c r="I26" s="24">
        <f t="shared" si="1"/>
        <v>17937</v>
      </c>
      <c r="J26" s="22">
        <f t="shared" si="2"/>
        <v>0.48645065053451564</v>
      </c>
      <c r="K26" s="25">
        <f t="shared" si="3"/>
        <v>0.0343482734007279</v>
      </c>
      <c r="L26" s="25">
        <f t="shared" si="4"/>
        <v>0</v>
      </c>
      <c r="M26" s="25">
        <f t="shared" si="5"/>
        <v>0.0008578767093908332</v>
      </c>
      <c r="N26" s="26">
        <f t="shared" si="6"/>
        <v>0.026257356825272096</v>
      </c>
      <c r="O26" s="25">
        <f t="shared" si="7"/>
        <v>0.03519453383701904</v>
      </c>
      <c r="P26" s="25">
        <f t="shared" si="8"/>
        <v>0</v>
      </c>
      <c r="Q26" s="25">
        <f t="shared" si="9"/>
        <v>0</v>
      </c>
      <c r="R26" s="27">
        <f t="shared" si="10"/>
        <v>0.02575623094841055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4.25">
      <c r="A27" s="12" t="s">
        <v>22</v>
      </c>
      <c r="B27" s="23">
        <v>0</v>
      </c>
      <c r="C27" s="23">
        <v>0</v>
      </c>
      <c r="D27" s="23">
        <v>1131</v>
      </c>
      <c r="E27" s="24">
        <f t="shared" si="0"/>
        <v>1131</v>
      </c>
      <c r="F27" s="23">
        <v>0</v>
      </c>
      <c r="G27" s="23">
        <v>0</v>
      </c>
      <c r="H27" s="23">
        <v>2462</v>
      </c>
      <c r="I27" s="24">
        <f t="shared" si="1"/>
        <v>2462</v>
      </c>
      <c r="J27" s="22">
        <f t="shared" si="2"/>
        <v>1.1768346595932804</v>
      </c>
      <c r="K27" s="25">
        <f t="shared" si="3"/>
        <v>0</v>
      </c>
      <c r="L27" s="25">
        <f t="shared" si="4"/>
        <v>0</v>
      </c>
      <c r="M27" s="25">
        <f t="shared" si="5"/>
        <v>0.032341951944034414</v>
      </c>
      <c r="N27" s="26">
        <f t="shared" si="6"/>
        <v>0.002461015212512036</v>
      </c>
      <c r="O27" s="25">
        <f t="shared" si="7"/>
        <v>0</v>
      </c>
      <c r="P27" s="25">
        <f t="shared" si="8"/>
        <v>0</v>
      </c>
      <c r="Q27" s="25">
        <f t="shared" si="9"/>
        <v>0.06395801943159973</v>
      </c>
      <c r="R27" s="27">
        <f t="shared" si="10"/>
        <v>0.0035352534200249076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14.25">
      <c r="A28" s="12" t="s">
        <v>23</v>
      </c>
      <c r="B28" s="23">
        <v>0</v>
      </c>
      <c r="C28" s="23">
        <v>0</v>
      </c>
      <c r="D28" s="23">
        <v>9</v>
      </c>
      <c r="E28" s="24">
        <f t="shared" si="0"/>
        <v>9</v>
      </c>
      <c r="F28" s="23">
        <v>0</v>
      </c>
      <c r="G28" s="23">
        <v>0</v>
      </c>
      <c r="H28" s="23">
        <v>1</v>
      </c>
      <c r="I28" s="24">
        <f t="shared" si="1"/>
        <v>1</v>
      </c>
      <c r="J28" s="22">
        <f t="shared" si="2"/>
        <v>-0.8888888888888888</v>
      </c>
      <c r="K28" s="25">
        <f t="shared" si="3"/>
        <v>0</v>
      </c>
      <c r="L28" s="25">
        <f t="shared" si="4"/>
        <v>0</v>
      </c>
      <c r="M28" s="25">
        <f t="shared" si="5"/>
        <v>0.00025736301281724996</v>
      </c>
      <c r="N28" s="26">
        <f t="shared" si="6"/>
        <v>1.958367543113026E-05</v>
      </c>
      <c r="O28" s="25">
        <f t="shared" si="7"/>
        <v>0</v>
      </c>
      <c r="P28" s="25">
        <f t="shared" si="8"/>
        <v>0</v>
      </c>
      <c r="Q28" s="25">
        <f t="shared" si="9"/>
        <v>2.597807450511768E-05</v>
      </c>
      <c r="R28" s="27">
        <f t="shared" si="10"/>
        <v>1.4359274654853402E-06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4.25">
      <c r="A29" s="12" t="s">
        <v>24</v>
      </c>
      <c r="B29" s="23">
        <v>1029</v>
      </c>
      <c r="C29" s="23">
        <v>0</v>
      </c>
      <c r="D29" s="23">
        <v>0</v>
      </c>
      <c r="E29" s="24">
        <f t="shared" si="0"/>
        <v>1029</v>
      </c>
      <c r="F29" s="23">
        <v>1439</v>
      </c>
      <c r="G29" s="23">
        <v>851</v>
      </c>
      <c r="H29" s="23">
        <v>0</v>
      </c>
      <c r="I29" s="24">
        <f t="shared" si="1"/>
        <v>2290</v>
      </c>
      <c r="J29" s="22">
        <f t="shared" si="2"/>
        <v>1.2254616132167153</v>
      </c>
      <c r="K29" s="25">
        <f t="shared" si="3"/>
        <v>0.002936310819086899</v>
      </c>
      <c r="L29" s="25">
        <f t="shared" si="4"/>
        <v>0</v>
      </c>
      <c r="M29" s="25">
        <f t="shared" si="5"/>
        <v>0</v>
      </c>
      <c r="N29" s="26">
        <f t="shared" si="6"/>
        <v>0.0022390668909592266</v>
      </c>
      <c r="O29" s="25">
        <f t="shared" si="7"/>
        <v>0.002823489668922919</v>
      </c>
      <c r="P29" s="25">
        <f t="shared" si="8"/>
        <v>0.005739645369502317</v>
      </c>
      <c r="Q29" s="25">
        <f t="shared" si="9"/>
        <v>0</v>
      </c>
      <c r="R29" s="27">
        <f t="shared" si="10"/>
        <v>0.003288273895961429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4.25">
      <c r="A30" s="12" t="s">
        <v>25</v>
      </c>
      <c r="B30" s="23">
        <v>21523</v>
      </c>
      <c r="C30" s="23">
        <v>259</v>
      </c>
      <c r="D30" s="23">
        <v>446</v>
      </c>
      <c r="E30" s="24">
        <f t="shared" si="0"/>
        <v>22228</v>
      </c>
      <c r="F30" s="23">
        <v>34347</v>
      </c>
      <c r="G30" s="23">
        <v>216</v>
      </c>
      <c r="H30" s="23">
        <v>650</v>
      </c>
      <c r="I30" s="24">
        <f t="shared" si="1"/>
        <v>35213</v>
      </c>
      <c r="J30" s="22">
        <f t="shared" si="2"/>
        <v>0.5841731149901026</v>
      </c>
      <c r="K30" s="25">
        <f t="shared" si="3"/>
        <v>0.06141712124315581</v>
      </c>
      <c r="L30" s="25">
        <f t="shared" si="4"/>
        <v>0.003492607000532926</v>
      </c>
      <c r="M30" s="25">
        <f t="shared" si="5"/>
        <v>0.012753767079610387</v>
      </c>
      <c r="N30" s="26">
        <f t="shared" si="6"/>
        <v>0.04836732638701816</v>
      </c>
      <c r="O30" s="25">
        <f t="shared" si="7"/>
        <v>0.06739291150694614</v>
      </c>
      <c r="P30" s="25">
        <f t="shared" si="8"/>
        <v>0.0014568312571239723</v>
      </c>
      <c r="Q30" s="25">
        <f t="shared" si="9"/>
        <v>0.01688574842832649</v>
      </c>
      <c r="R30" s="27">
        <f t="shared" si="10"/>
        <v>0.05056331384213529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4.25">
      <c r="A31" s="12" t="s">
        <v>26</v>
      </c>
      <c r="B31" s="23">
        <v>1432</v>
      </c>
      <c r="C31" s="23">
        <v>0</v>
      </c>
      <c r="D31" s="23">
        <v>0</v>
      </c>
      <c r="E31" s="24">
        <f t="shared" si="0"/>
        <v>1432</v>
      </c>
      <c r="F31" s="23">
        <v>2333</v>
      </c>
      <c r="G31" s="23">
        <v>1317</v>
      </c>
      <c r="H31" s="23">
        <v>0</v>
      </c>
      <c r="I31" s="24">
        <f t="shared" si="1"/>
        <v>3650</v>
      </c>
      <c r="J31" s="22">
        <f t="shared" si="2"/>
        <v>1.5488826815642458</v>
      </c>
      <c r="K31" s="25">
        <f t="shared" si="3"/>
        <v>0.004086294550954752</v>
      </c>
      <c r="L31" s="25">
        <f t="shared" si="4"/>
        <v>0</v>
      </c>
      <c r="M31" s="25">
        <f t="shared" si="5"/>
        <v>0</v>
      </c>
      <c r="N31" s="26">
        <f t="shared" si="6"/>
        <v>0.003115980357486504</v>
      </c>
      <c r="O31" s="25">
        <f t="shared" si="7"/>
        <v>0.004577624320776351</v>
      </c>
      <c r="P31" s="25">
        <f t="shared" si="8"/>
        <v>0.00888262391496422</v>
      </c>
      <c r="Q31" s="25">
        <f t="shared" si="9"/>
        <v>0</v>
      </c>
      <c r="R31" s="27">
        <f t="shared" si="10"/>
        <v>0.005241135249021492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ht="14.25">
      <c r="A32" s="12" t="s">
        <v>27</v>
      </c>
      <c r="B32" s="23">
        <v>28259</v>
      </c>
      <c r="C32" s="23">
        <v>2742</v>
      </c>
      <c r="D32" s="23">
        <v>169</v>
      </c>
      <c r="E32" s="24">
        <f t="shared" si="0"/>
        <v>31170</v>
      </c>
      <c r="F32" s="23">
        <v>41527</v>
      </c>
      <c r="G32" s="23">
        <v>25167</v>
      </c>
      <c r="H32" s="23">
        <v>208</v>
      </c>
      <c r="I32" s="24">
        <f t="shared" si="1"/>
        <v>66902</v>
      </c>
      <c r="J32" s="22">
        <f t="shared" si="2"/>
        <v>1.1463586782162336</v>
      </c>
      <c r="K32" s="25">
        <f t="shared" si="3"/>
        <v>0.08063868555546812</v>
      </c>
      <c r="L32" s="25">
        <f t="shared" si="4"/>
        <v>0.03697578531066133</v>
      </c>
      <c r="M32" s="25">
        <f t="shared" si="5"/>
        <v>0.004832705462901694</v>
      </c>
      <c r="N32" s="26">
        <f t="shared" si="6"/>
        <v>0.06782479590981448</v>
      </c>
      <c r="O32" s="25">
        <f t="shared" si="7"/>
        <v>0.08148092806210011</v>
      </c>
      <c r="P32" s="25">
        <f t="shared" si="8"/>
        <v>0.16974107522240284</v>
      </c>
      <c r="Q32" s="25">
        <f t="shared" si="9"/>
        <v>0.005403439497064478</v>
      </c>
      <c r="R32" s="27">
        <f t="shared" si="10"/>
        <v>0.09606641929590023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14.25">
      <c r="A33" s="12" t="s">
        <v>28</v>
      </c>
      <c r="B33" s="23">
        <v>40260</v>
      </c>
      <c r="C33" s="23">
        <v>0</v>
      </c>
      <c r="D33" s="23">
        <v>246</v>
      </c>
      <c r="E33" s="24">
        <f t="shared" si="0"/>
        <v>40506</v>
      </c>
      <c r="F33" s="23">
        <v>62202</v>
      </c>
      <c r="G33" s="23">
        <v>5345</v>
      </c>
      <c r="H33" s="23">
        <v>63</v>
      </c>
      <c r="I33" s="24">
        <f t="shared" si="1"/>
        <v>67610</v>
      </c>
      <c r="J33" s="22">
        <f t="shared" si="2"/>
        <v>0.6691354367254234</v>
      </c>
      <c r="K33" s="25">
        <f t="shared" si="3"/>
        <v>0.11488423088089268</v>
      </c>
      <c r="L33" s="25">
        <f t="shared" si="4"/>
        <v>0</v>
      </c>
      <c r="M33" s="25">
        <f t="shared" si="5"/>
        <v>0.007034589017004832</v>
      </c>
      <c r="N33" s="26">
        <f t="shared" si="6"/>
        <v>0.08813959522370693</v>
      </c>
      <c r="O33" s="25">
        <f t="shared" si="7"/>
        <v>0.12204774453533246</v>
      </c>
      <c r="P33" s="25">
        <f t="shared" si="8"/>
        <v>0.03604982902466496</v>
      </c>
      <c r="Q33" s="25">
        <f t="shared" si="9"/>
        <v>0.0016366186938224139</v>
      </c>
      <c r="R33" s="27">
        <f t="shared" si="10"/>
        <v>0.09708305594146385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4.25">
      <c r="A34" s="12" t="s">
        <v>29</v>
      </c>
      <c r="B34" s="23">
        <v>0</v>
      </c>
      <c r="C34" s="23">
        <v>0</v>
      </c>
      <c r="D34" s="23">
        <v>4458</v>
      </c>
      <c r="E34" s="24">
        <f t="shared" si="0"/>
        <v>4458</v>
      </c>
      <c r="F34" s="23">
        <v>0</v>
      </c>
      <c r="G34" s="23">
        <v>0</v>
      </c>
      <c r="H34" s="23">
        <v>5613</v>
      </c>
      <c r="I34" s="24">
        <f t="shared" si="1"/>
        <v>5613</v>
      </c>
      <c r="J34" s="22">
        <f t="shared" si="2"/>
        <v>0.2590847913862719</v>
      </c>
      <c r="K34" s="25">
        <f t="shared" si="3"/>
        <v>0</v>
      </c>
      <c r="L34" s="25">
        <f t="shared" si="4"/>
        <v>0</v>
      </c>
      <c r="M34" s="25">
        <f t="shared" si="5"/>
        <v>0.12748047901547782</v>
      </c>
      <c r="N34" s="26">
        <f t="shared" si="6"/>
        <v>0.009700447230219856</v>
      </c>
      <c r="O34" s="25">
        <f t="shared" si="7"/>
        <v>0</v>
      </c>
      <c r="P34" s="25">
        <f t="shared" si="8"/>
        <v>0</v>
      </c>
      <c r="Q34" s="25">
        <f t="shared" si="9"/>
        <v>0.14581493219722555</v>
      </c>
      <c r="R34" s="27">
        <f t="shared" si="10"/>
        <v>0.008059860863769214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4.25">
      <c r="A35" s="12" t="s">
        <v>57</v>
      </c>
      <c r="B35" s="23">
        <f>25747+11059+101</f>
        <v>36907</v>
      </c>
      <c r="C35" s="23">
        <v>1884</v>
      </c>
      <c r="D35" s="23">
        <v>0</v>
      </c>
      <c r="E35" s="24">
        <f t="shared" si="0"/>
        <v>38791</v>
      </c>
      <c r="F35" s="23">
        <v>58801</v>
      </c>
      <c r="G35" s="23">
        <v>0</v>
      </c>
      <c r="H35" s="23">
        <v>0</v>
      </c>
      <c r="I35" s="24">
        <f t="shared" si="1"/>
        <v>58801</v>
      </c>
      <c r="J35" s="22">
        <f t="shared" si="2"/>
        <v>0.5158413033951175</v>
      </c>
      <c r="K35" s="25">
        <f t="shared" si="3"/>
        <v>0.10531625208944626</v>
      </c>
      <c r="L35" s="25">
        <f t="shared" si="4"/>
        <v>0.02540568181082638</v>
      </c>
      <c r="M35" s="25">
        <f t="shared" si="5"/>
        <v>0</v>
      </c>
      <c r="N35" s="26">
        <f t="shared" si="6"/>
        <v>0.08440781707210822</v>
      </c>
      <c r="O35" s="25">
        <f t="shared" si="7"/>
        <v>0.11537457680495938</v>
      </c>
      <c r="P35" s="25">
        <f t="shared" si="8"/>
        <v>0</v>
      </c>
      <c r="Q35" s="25">
        <f t="shared" si="9"/>
        <v>0</v>
      </c>
      <c r="R35" s="27">
        <f t="shared" si="10"/>
        <v>0.08443397089800349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4.25">
      <c r="A36" s="12" t="s">
        <v>30</v>
      </c>
      <c r="B36" s="23">
        <v>52122</v>
      </c>
      <c r="C36" s="23">
        <v>2900</v>
      </c>
      <c r="D36" s="23">
        <v>0</v>
      </c>
      <c r="E36" s="24">
        <f t="shared" si="0"/>
        <v>55022</v>
      </c>
      <c r="F36" s="23">
        <v>59513</v>
      </c>
      <c r="G36" s="23">
        <v>6857</v>
      </c>
      <c r="H36" s="23">
        <v>0</v>
      </c>
      <c r="I36" s="24">
        <f t="shared" si="1"/>
        <v>66370</v>
      </c>
      <c r="J36" s="22">
        <f t="shared" si="2"/>
        <v>0.2062447748173458</v>
      </c>
      <c r="K36" s="25">
        <f t="shared" si="3"/>
        <v>0.1487331316933405</v>
      </c>
      <c r="L36" s="25">
        <f t="shared" si="4"/>
        <v>0.03910641043067755</v>
      </c>
      <c r="M36" s="25">
        <f t="shared" si="5"/>
        <v>0</v>
      </c>
      <c r="N36" s="26">
        <f t="shared" si="6"/>
        <v>0.11972588773018325</v>
      </c>
      <c r="O36" s="25">
        <f t="shared" si="7"/>
        <v>0.11677160574469053</v>
      </c>
      <c r="P36" s="25">
        <f t="shared" si="8"/>
        <v>0.04624764782453277</v>
      </c>
      <c r="Q36" s="25">
        <f t="shared" si="9"/>
        <v>0</v>
      </c>
      <c r="R36" s="27">
        <f t="shared" si="10"/>
        <v>0.09530250588426203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14.25">
      <c r="A37" s="12" t="s">
        <v>31</v>
      </c>
      <c r="B37" s="23">
        <v>489</v>
      </c>
      <c r="C37" s="23">
        <v>0</v>
      </c>
      <c r="D37" s="23">
        <v>4</v>
      </c>
      <c r="E37" s="24">
        <f t="shared" si="0"/>
        <v>493</v>
      </c>
      <c r="F37" s="23">
        <v>486</v>
      </c>
      <c r="G37" s="23">
        <v>543</v>
      </c>
      <c r="H37" s="23">
        <v>1</v>
      </c>
      <c r="I37" s="24">
        <f t="shared" si="1"/>
        <v>1030</v>
      </c>
      <c r="J37" s="22">
        <f t="shared" si="2"/>
        <v>1.0892494929006085</v>
      </c>
      <c r="K37" s="25">
        <f t="shared" si="3"/>
        <v>0.001395389689536923</v>
      </c>
      <c r="L37" s="25">
        <f t="shared" si="4"/>
        <v>0</v>
      </c>
      <c r="M37" s="25">
        <f t="shared" si="5"/>
        <v>0.0001143835612521111</v>
      </c>
      <c r="N37" s="26">
        <f t="shared" si="6"/>
        <v>0.00107275022083858</v>
      </c>
      <c r="O37" s="25">
        <f t="shared" si="7"/>
        <v>0.0009535899785243492</v>
      </c>
      <c r="P37" s="25">
        <f t="shared" si="8"/>
        <v>0.003662311910269986</v>
      </c>
      <c r="Q37" s="25">
        <f t="shared" si="9"/>
        <v>2.597807450511768E-05</v>
      </c>
      <c r="R37" s="27">
        <f t="shared" si="10"/>
        <v>0.0014790052894499005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5" thickBot="1">
      <c r="A38" s="12" t="s">
        <v>32</v>
      </c>
      <c r="B38" s="23">
        <v>403</v>
      </c>
      <c r="C38" s="23">
        <v>0</v>
      </c>
      <c r="D38" s="23">
        <v>0</v>
      </c>
      <c r="E38" s="24">
        <f t="shared" si="0"/>
        <v>403</v>
      </c>
      <c r="F38" s="23">
        <v>498</v>
      </c>
      <c r="G38" s="23">
        <v>0</v>
      </c>
      <c r="H38" s="23">
        <v>0</v>
      </c>
      <c r="I38" s="24">
        <f t="shared" si="1"/>
        <v>498</v>
      </c>
      <c r="J38" s="22">
        <f t="shared" si="2"/>
        <v>0.23573200992555832</v>
      </c>
      <c r="K38" s="25">
        <f t="shared" si="3"/>
        <v>0.0011499837318678526</v>
      </c>
      <c r="L38" s="25">
        <f t="shared" si="4"/>
        <v>0</v>
      </c>
      <c r="M38" s="25">
        <f t="shared" si="5"/>
        <v>0</v>
      </c>
      <c r="N38" s="26">
        <f t="shared" si="6"/>
        <v>0.0008769134665272773</v>
      </c>
      <c r="O38" s="25">
        <f t="shared" si="7"/>
        <v>0.0009771354100928517</v>
      </c>
      <c r="P38" s="25">
        <f t="shared" si="8"/>
        <v>0</v>
      </c>
      <c r="Q38" s="25">
        <f t="shared" si="9"/>
        <v>0</v>
      </c>
      <c r="R38" s="27">
        <f t="shared" si="10"/>
        <v>0.0007150918778116995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6.5" customHeight="1" thickBot="1">
      <c r="A39" s="28" t="s">
        <v>33</v>
      </c>
      <c r="B39" s="29">
        <f>SUM(B12:B38)</f>
        <v>350439.74</v>
      </c>
      <c r="C39" s="29">
        <f aca="true" t="shared" si="11" ref="C39:R39">SUM(C12:C38)</f>
        <v>74156.64</v>
      </c>
      <c r="D39" s="29">
        <f t="shared" si="11"/>
        <v>34970.06</v>
      </c>
      <c r="E39" s="30">
        <f t="shared" si="11"/>
        <v>459566.44</v>
      </c>
      <c r="F39" s="29">
        <f t="shared" si="11"/>
        <v>509653.007</v>
      </c>
      <c r="G39" s="29">
        <f t="shared" si="11"/>
        <v>148267</v>
      </c>
      <c r="H39" s="29">
        <f t="shared" si="11"/>
        <v>38494</v>
      </c>
      <c r="I39" s="29">
        <f t="shared" si="11"/>
        <v>696414.007</v>
      </c>
      <c r="J39" s="31">
        <f t="shared" si="2"/>
        <v>0.5153717643089865</v>
      </c>
      <c r="K39" s="32">
        <f t="shared" si="11"/>
        <v>1.0000000000000002</v>
      </c>
      <c r="L39" s="32">
        <f t="shared" si="11"/>
        <v>0.9999999999999999</v>
      </c>
      <c r="M39" s="32">
        <f t="shared" si="11"/>
        <v>1</v>
      </c>
      <c r="N39" s="33">
        <f t="shared" si="11"/>
        <v>1</v>
      </c>
      <c r="O39" s="32">
        <f t="shared" si="11"/>
        <v>1.0000000000000002</v>
      </c>
      <c r="P39" s="32">
        <f t="shared" si="11"/>
        <v>0.9999999999999998</v>
      </c>
      <c r="Q39" s="32">
        <f t="shared" si="11"/>
        <v>0.9999999999999999</v>
      </c>
      <c r="R39" s="34">
        <f t="shared" si="11"/>
        <v>1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4.25">
      <c r="A40" s="57" t="s">
        <v>80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ht="14.25">
      <c r="A43" s="1" t="str">
        <f>+A2</f>
        <v>Date:</v>
      </c>
      <c r="B43" s="3">
        <f>+B2</f>
        <v>43741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74" ht="15">
      <c r="A46" s="1"/>
      <c r="B46" s="1"/>
      <c r="C46" s="4" t="s">
        <v>50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ht="15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14.2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7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14.25">
      <c r="A49" s="8" t="str">
        <f>+A7</f>
        <v>Canadian Exchange Rate Used: 1996 =  .7300 and 1997 =  .6966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10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  <row r="50" spans="1:74" ht="14.25">
      <c r="A50" s="8"/>
      <c r="B50" s="9"/>
      <c r="C50" s="9"/>
      <c r="D50" s="9" t="s">
        <v>64</v>
      </c>
      <c r="E50" s="9"/>
      <c r="F50" s="9"/>
      <c r="G50" s="9"/>
      <c r="H50" s="9"/>
      <c r="I50" s="9"/>
      <c r="J50" s="11"/>
      <c r="K50" s="9"/>
      <c r="L50" s="9"/>
      <c r="M50" s="9" t="s">
        <v>69</v>
      </c>
      <c r="N50" s="9"/>
      <c r="O50" s="9"/>
      <c r="P50" s="9"/>
      <c r="Q50" s="9"/>
      <c r="R50" s="10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</row>
    <row r="51" spans="1:74" ht="14.25">
      <c r="A51" s="12"/>
      <c r="B51" s="9"/>
      <c r="C51" s="9">
        <v>1996</v>
      </c>
      <c r="D51" s="9"/>
      <c r="E51" s="13"/>
      <c r="F51" s="9"/>
      <c r="G51" s="9">
        <v>1997</v>
      </c>
      <c r="H51" s="9"/>
      <c r="I51" s="13"/>
      <c r="J51" s="14" t="s">
        <v>7</v>
      </c>
      <c r="K51" s="9"/>
      <c r="L51" s="9">
        <v>1996</v>
      </c>
      <c r="M51" s="9"/>
      <c r="N51" s="13"/>
      <c r="O51" s="9"/>
      <c r="P51" s="9">
        <v>1997</v>
      </c>
      <c r="Q51" s="9"/>
      <c r="R51" s="10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</row>
    <row r="52" spans="1:74" ht="15" thickBot="1">
      <c r="A52" s="15" t="s">
        <v>2</v>
      </c>
      <c r="B52" s="18" t="s">
        <v>3</v>
      </c>
      <c r="C52" s="18" t="s">
        <v>4</v>
      </c>
      <c r="D52" s="18" t="s">
        <v>5</v>
      </c>
      <c r="E52" s="19" t="s">
        <v>6</v>
      </c>
      <c r="F52" s="18" t="s">
        <v>3</v>
      </c>
      <c r="G52" s="18" t="s">
        <v>4</v>
      </c>
      <c r="H52" s="18" t="s">
        <v>5</v>
      </c>
      <c r="I52" s="19" t="s">
        <v>6</v>
      </c>
      <c r="J52" s="20" t="s">
        <v>8</v>
      </c>
      <c r="K52" s="18" t="s">
        <v>3</v>
      </c>
      <c r="L52" s="18" t="s">
        <v>4</v>
      </c>
      <c r="M52" s="18" t="s">
        <v>5</v>
      </c>
      <c r="N52" s="19" t="s">
        <v>6</v>
      </c>
      <c r="O52" s="18" t="s">
        <v>3</v>
      </c>
      <c r="P52" s="18" t="s">
        <v>4</v>
      </c>
      <c r="Q52" s="18" t="s">
        <v>5</v>
      </c>
      <c r="R52" s="21" t="s">
        <v>6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1:74" ht="15" thickTop="1">
      <c r="A53" s="12"/>
      <c r="B53" s="9"/>
      <c r="C53" s="9"/>
      <c r="D53" s="9"/>
      <c r="E53" s="13"/>
      <c r="F53" s="9"/>
      <c r="G53" s="9"/>
      <c r="H53" s="9"/>
      <c r="I53" s="13"/>
      <c r="J53" s="11"/>
      <c r="K53" s="9"/>
      <c r="L53" s="9"/>
      <c r="M53" s="9"/>
      <c r="N53" s="13"/>
      <c r="O53" s="9"/>
      <c r="P53" s="9"/>
      <c r="Q53" s="9"/>
      <c r="R53" s="10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</row>
    <row r="54" spans="1:74" ht="14.25">
      <c r="A54" s="12" t="s">
        <v>10</v>
      </c>
      <c r="B54" s="23">
        <v>42669</v>
      </c>
      <c r="C54" s="23">
        <v>0</v>
      </c>
      <c r="D54" s="23">
        <v>1339</v>
      </c>
      <c r="E54" s="24">
        <f>+B54+C54+D54</f>
        <v>44008</v>
      </c>
      <c r="F54" s="23">
        <v>64884</v>
      </c>
      <c r="G54" s="23">
        <v>0</v>
      </c>
      <c r="H54" s="23">
        <v>1182</v>
      </c>
      <c r="I54" s="24">
        <f>+F54+G54+H54</f>
        <v>66066</v>
      </c>
      <c r="J54" s="22">
        <f aca="true" t="shared" si="12" ref="J54:J81">IF(+E54&gt;0,(+I54-E54)/E54,0)</f>
        <v>0.5012270496273404</v>
      </c>
      <c r="K54" s="25">
        <f aca="true" t="shared" si="13" ref="K54:K80">+B54/$B$81</f>
        <v>0.03440245589142198</v>
      </c>
      <c r="L54" s="25">
        <f aca="true" t="shared" si="14" ref="L54:L80">+C54/$C$81</f>
        <v>0</v>
      </c>
      <c r="M54" s="25">
        <f aca="true" t="shared" si="15" ref="M54:M80">+D54/$D$81</f>
        <v>0.008419529762660435</v>
      </c>
      <c r="N54" s="26">
        <f aca="true" t="shared" si="16" ref="N54:N80">+E54/$E$81</f>
        <v>0.026762667824938975</v>
      </c>
      <c r="O54" s="25">
        <f aca="true" t="shared" si="17" ref="O54:O80">+F54/$F$81</f>
        <v>0.04150782928718621</v>
      </c>
      <c r="P54" s="25">
        <f aca="true" t="shared" si="18" ref="P54:P80">+G54/$G$81</f>
        <v>0</v>
      </c>
      <c r="Q54" s="25">
        <f aca="true" t="shared" si="19" ref="Q54:Q80">+H54/$H$81</f>
        <v>0.006845665570124635</v>
      </c>
      <c r="R54" s="27">
        <f aca="true" t="shared" si="20" ref="R54:R80">+I54/$I$81</f>
        <v>0.03203781059479825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</row>
    <row r="55" spans="1:74" ht="14.25">
      <c r="A55" s="12" t="s">
        <v>11</v>
      </c>
      <c r="B55" s="23">
        <v>53663</v>
      </c>
      <c r="C55" s="23">
        <v>0</v>
      </c>
      <c r="D55" s="23">
        <v>230</v>
      </c>
      <c r="E55" s="24">
        <f aca="true" t="shared" si="21" ref="E55:E80">+B55+C55+D55</f>
        <v>53893</v>
      </c>
      <c r="F55" s="23">
        <v>69784</v>
      </c>
      <c r="G55" s="23">
        <v>0</v>
      </c>
      <c r="H55" s="23">
        <v>214</v>
      </c>
      <c r="I55" s="24">
        <f aca="true" t="shared" si="22" ref="I55:I80">+F55+G55+H55</f>
        <v>69998</v>
      </c>
      <c r="J55" s="22">
        <f t="shared" si="12"/>
        <v>0.2988328725437441</v>
      </c>
      <c r="K55" s="25">
        <f t="shared" si="13"/>
        <v>0.04326651645225756</v>
      </c>
      <c r="L55" s="25">
        <f t="shared" si="14"/>
        <v>0</v>
      </c>
      <c r="M55" s="25">
        <f t="shared" si="15"/>
        <v>0.0014462224386944736</v>
      </c>
      <c r="N55" s="26">
        <f t="shared" si="16"/>
        <v>0.0327740514699472</v>
      </c>
      <c r="O55" s="25">
        <f t="shared" si="17"/>
        <v>0.04464247517072009</v>
      </c>
      <c r="P55" s="25">
        <f t="shared" si="18"/>
        <v>0</v>
      </c>
      <c r="Q55" s="25">
        <f t="shared" si="19"/>
        <v>0.0012394013807163044</v>
      </c>
      <c r="R55" s="27">
        <f t="shared" si="20"/>
        <v>0.0339445806619848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</row>
    <row r="56" spans="1:74" ht="14.25">
      <c r="A56" s="12" t="s">
        <v>12</v>
      </c>
      <c r="B56" s="23">
        <v>47019</v>
      </c>
      <c r="C56" s="23">
        <v>0</v>
      </c>
      <c r="D56" s="23">
        <v>0</v>
      </c>
      <c r="E56" s="24">
        <f t="shared" si="21"/>
        <v>47019</v>
      </c>
      <c r="F56" s="23">
        <v>59387</v>
      </c>
      <c r="G56" s="23">
        <v>0</v>
      </c>
      <c r="H56" s="23">
        <v>0</v>
      </c>
      <c r="I56" s="24">
        <f t="shared" si="22"/>
        <v>59387</v>
      </c>
      <c r="J56" s="22">
        <f t="shared" si="12"/>
        <v>0.2630425998000808</v>
      </c>
      <c r="K56" s="25">
        <f t="shared" si="13"/>
        <v>0.03790970197470694</v>
      </c>
      <c r="L56" s="25">
        <f t="shared" si="14"/>
        <v>0</v>
      </c>
      <c r="M56" s="25">
        <f t="shared" si="15"/>
        <v>0</v>
      </c>
      <c r="N56" s="26">
        <f t="shared" si="16"/>
        <v>0.02859375291903303</v>
      </c>
      <c r="O56" s="25">
        <f t="shared" si="17"/>
        <v>0.03799126838478095</v>
      </c>
      <c r="P56" s="25">
        <f t="shared" si="18"/>
        <v>0</v>
      </c>
      <c r="Q56" s="25">
        <f t="shared" si="19"/>
        <v>0</v>
      </c>
      <c r="R56" s="27">
        <f t="shared" si="20"/>
        <v>0.028798920137336658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</row>
    <row r="57" spans="1:74" ht="14.25">
      <c r="A57" s="12" t="s">
        <v>78</v>
      </c>
      <c r="B57" s="23">
        <v>14479</v>
      </c>
      <c r="C57" s="23">
        <v>0</v>
      </c>
      <c r="D57" s="23">
        <v>1360</v>
      </c>
      <c r="E57" s="24">
        <f t="shared" si="21"/>
        <v>15839</v>
      </c>
      <c r="F57" s="23">
        <v>13705</v>
      </c>
      <c r="G57" s="23">
        <v>0</v>
      </c>
      <c r="H57" s="23">
        <v>1331</v>
      </c>
      <c r="I57" s="24">
        <f t="shared" si="22"/>
        <v>15036</v>
      </c>
      <c r="J57" s="22">
        <f t="shared" si="12"/>
        <v>-0.050697645053349324</v>
      </c>
      <c r="K57" s="25">
        <f t="shared" si="13"/>
        <v>0.01167388874480065</v>
      </c>
      <c r="L57" s="25">
        <f t="shared" si="14"/>
        <v>0</v>
      </c>
      <c r="M57" s="25">
        <f t="shared" si="15"/>
        <v>0.008551576159236888</v>
      </c>
      <c r="N57" s="26">
        <f t="shared" si="16"/>
        <v>0.00963220086527923</v>
      </c>
      <c r="O57" s="25">
        <f t="shared" si="17"/>
        <v>0.008767412619149359</v>
      </c>
      <c r="P57" s="25">
        <f t="shared" si="18"/>
        <v>0</v>
      </c>
      <c r="Q57" s="25">
        <f t="shared" si="19"/>
        <v>0.007708613260436455</v>
      </c>
      <c r="R57" s="27">
        <f t="shared" si="20"/>
        <v>0.0072915042548873325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</row>
    <row r="58" spans="1:74" ht="14.25">
      <c r="A58" s="12" t="s">
        <v>13</v>
      </c>
      <c r="B58" s="23">
        <v>44030</v>
      </c>
      <c r="C58" s="23">
        <v>0</v>
      </c>
      <c r="D58" s="23">
        <v>5844</v>
      </c>
      <c r="E58" s="24">
        <f t="shared" si="21"/>
        <v>49874</v>
      </c>
      <c r="F58" s="23">
        <v>43079</v>
      </c>
      <c r="G58" s="23">
        <v>0</v>
      </c>
      <c r="H58" s="23">
        <v>14003</v>
      </c>
      <c r="I58" s="24">
        <f t="shared" si="22"/>
        <v>57082</v>
      </c>
      <c r="J58" s="22">
        <f t="shared" si="12"/>
        <v>0.14452420098648594</v>
      </c>
      <c r="K58" s="25">
        <f t="shared" si="13"/>
        <v>0.035499780470583095</v>
      </c>
      <c r="L58" s="25">
        <f t="shared" si="14"/>
        <v>0</v>
      </c>
      <c r="M58" s="25">
        <f t="shared" si="15"/>
        <v>0.036746625790132624</v>
      </c>
      <c r="N58" s="26">
        <f t="shared" si="16"/>
        <v>0.030329969439670205</v>
      </c>
      <c r="O58" s="25">
        <f t="shared" si="17"/>
        <v>0.02755865510546043</v>
      </c>
      <c r="P58" s="25">
        <f t="shared" si="18"/>
        <v>0</v>
      </c>
      <c r="Q58" s="25">
        <f t="shared" si="19"/>
        <v>0.08109970810360005</v>
      </c>
      <c r="R58" s="27">
        <f t="shared" si="20"/>
        <v>0.02768114165186743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</row>
    <row r="59" spans="1:74" ht="14.25">
      <c r="A59" s="12" t="s">
        <v>14</v>
      </c>
      <c r="B59" s="23">
        <v>52561</v>
      </c>
      <c r="C59" s="23">
        <v>3205</v>
      </c>
      <c r="D59" s="23"/>
      <c r="E59" s="24">
        <f t="shared" si="21"/>
        <v>55766</v>
      </c>
      <c r="F59" s="23">
        <v>60981</v>
      </c>
      <c r="G59" s="23">
        <v>9877</v>
      </c>
      <c r="H59" s="23">
        <v>0</v>
      </c>
      <c r="I59" s="24">
        <f t="shared" si="22"/>
        <v>70858</v>
      </c>
      <c r="J59" s="22">
        <f t="shared" si="12"/>
        <v>0.2706308503389162</v>
      </c>
      <c r="K59" s="25">
        <f t="shared" si="13"/>
        <v>0.04237801411115871</v>
      </c>
      <c r="L59" s="25">
        <f t="shared" si="14"/>
        <v>0.013078654456603535</v>
      </c>
      <c r="M59" s="25">
        <f t="shared" si="15"/>
        <v>0</v>
      </c>
      <c r="N59" s="26">
        <f t="shared" si="16"/>
        <v>0.033913082483310916</v>
      </c>
      <c r="O59" s="25">
        <f t="shared" si="17"/>
        <v>0.039010987882404015</v>
      </c>
      <c r="P59" s="25">
        <f t="shared" si="18"/>
        <v>0.030270900544200178</v>
      </c>
      <c r="Q59" s="25">
        <f t="shared" si="19"/>
        <v>0</v>
      </c>
      <c r="R59" s="27">
        <f t="shared" si="20"/>
        <v>0.03436162599712733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1:74" ht="14.25">
      <c r="A60" s="12" t="s">
        <v>15</v>
      </c>
      <c r="B60" s="23">
        <f>17832*0.73</f>
        <v>13017.36</v>
      </c>
      <c r="C60" s="23">
        <f>4022*0.73</f>
        <v>2936.06</v>
      </c>
      <c r="D60" s="23">
        <v>0</v>
      </c>
      <c r="E60" s="24">
        <f t="shared" si="21"/>
        <v>15953.42</v>
      </c>
      <c r="F60" s="23">
        <f>20478*0.6966</f>
        <v>14264.9748</v>
      </c>
      <c r="G60" s="23">
        <f>3807*0.6966</f>
        <v>2651.9562</v>
      </c>
      <c r="H60" s="23">
        <v>0</v>
      </c>
      <c r="I60" s="24">
        <f t="shared" si="22"/>
        <v>16916.931</v>
      </c>
      <c r="J60" s="22">
        <f t="shared" si="12"/>
        <v>0.0603952632100202</v>
      </c>
      <c r="K60" s="25">
        <f t="shared" si="13"/>
        <v>0.01049542181027821</v>
      </c>
      <c r="L60" s="25">
        <f t="shared" si="14"/>
        <v>0.011981190079206045</v>
      </c>
      <c r="M60" s="25">
        <f t="shared" si="15"/>
        <v>0</v>
      </c>
      <c r="N60" s="26">
        <f t="shared" si="16"/>
        <v>0.009701783315118567</v>
      </c>
      <c r="O60" s="25">
        <f t="shared" si="17"/>
        <v>0.00912564174194583</v>
      </c>
      <c r="P60" s="25">
        <f t="shared" si="18"/>
        <v>0.00812768071051686</v>
      </c>
      <c r="Q60" s="25">
        <f t="shared" si="19"/>
        <v>0</v>
      </c>
      <c r="R60" s="27">
        <f t="shared" si="20"/>
        <v>0.008203636230788468</v>
      </c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</row>
    <row r="61" spans="1:74" ht="14.25">
      <c r="A61" s="56" t="s">
        <v>45</v>
      </c>
      <c r="B61" s="23">
        <v>39188</v>
      </c>
      <c r="C61" s="23">
        <v>38546</v>
      </c>
      <c r="D61" s="23">
        <v>6922</v>
      </c>
      <c r="E61" s="24">
        <f t="shared" si="21"/>
        <v>84656</v>
      </c>
      <c r="F61" s="23">
        <v>59863</v>
      </c>
      <c r="G61" s="23">
        <v>77933</v>
      </c>
      <c r="H61" s="23">
        <f>133+990</f>
        <v>1123</v>
      </c>
      <c r="I61" s="24">
        <f t="shared" si="22"/>
        <v>138919</v>
      </c>
      <c r="J61" s="22">
        <f t="shared" si="12"/>
        <v>0.6409823284823285</v>
      </c>
      <c r="K61" s="25">
        <f t="shared" si="13"/>
        <v>0.0315958527613266</v>
      </c>
      <c r="L61" s="25">
        <f t="shared" si="14"/>
        <v>0.15729479397324175</v>
      </c>
      <c r="M61" s="25">
        <f t="shared" si="15"/>
        <v>0.04352500748105716</v>
      </c>
      <c r="N61" s="26">
        <f t="shared" si="16"/>
        <v>0.05148201252926817</v>
      </c>
      <c r="O61" s="25">
        <f t="shared" si="17"/>
        <v>0.038295776842038526</v>
      </c>
      <c r="P61" s="25">
        <f t="shared" si="18"/>
        <v>0.23884804010439936</v>
      </c>
      <c r="Q61" s="25">
        <f t="shared" si="19"/>
        <v>0.006503961451142103</v>
      </c>
      <c r="R61" s="27">
        <f t="shared" si="20"/>
        <v>0.06736688478216901</v>
      </c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</row>
    <row r="62" spans="1:74" ht="14.25">
      <c r="A62" s="12" t="s">
        <v>16</v>
      </c>
      <c r="B62" s="23">
        <v>0</v>
      </c>
      <c r="C62" s="23">
        <v>0</v>
      </c>
      <c r="D62" s="23">
        <v>41247</v>
      </c>
      <c r="E62" s="24">
        <f t="shared" si="21"/>
        <v>41247</v>
      </c>
      <c r="F62" s="23">
        <v>0</v>
      </c>
      <c r="G62" s="23">
        <v>0</v>
      </c>
      <c r="H62" s="23">
        <v>44283</v>
      </c>
      <c r="I62" s="24">
        <f t="shared" si="22"/>
        <v>44283</v>
      </c>
      <c r="J62" s="22">
        <f t="shared" si="12"/>
        <v>0.07360535311659029</v>
      </c>
      <c r="K62" s="25">
        <f t="shared" si="13"/>
        <v>0</v>
      </c>
      <c r="L62" s="25">
        <f t="shared" si="14"/>
        <v>0</v>
      </c>
      <c r="M62" s="25">
        <f t="shared" si="15"/>
        <v>0.2593579866470911</v>
      </c>
      <c r="N62" s="26">
        <f t="shared" si="16"/>
        <v>0.02508361570112838</v>
      </c>
      <c r="O62" s="25">
        <f t="shared" si="17"/>
        <v>0</v>
      </c>
      <c r="P62" s="25">
        <f t="shared" si="18"/>
        <v>0</v>
      </c>
      <c r="Q62" s="25">
        <f t="shared" si="19"/>
        <v>0.25646921187972016</v>
      </c>
      <c r="R62" s="27">
        <f t="shared" si="20"/>
        <v>0.021474440204786893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</row>
    <row r="63" spans="1:74" ht="14.25">
      <c r="A63" s="12" t="s">
        <v>17</v>
      </c>
      <c r="B63" s="23">
        <v>29245</v>
      </c>
      <c r="C63" s="23">
        <v>0</v>
      </c>
      <c r="D63" s="23">
        <v>2030</v>
      </c>
      <c r="E63" s="24">
        <f t="shared" si="21"/>
        <v>31275</v>
      </c>
      <c r="F63" s="23">
        <v>37693</v>
      </c>
      <c r="G63" s="23">
        <v>0</v>
      </c>
      <c r="H63" s="23">
        <v>1991</v>
      </c>
      <c r="I63" s="24">
        <f t="shared" si="22"/>
        <v>39684</v>
      </c>
      <c r="J63" s="22">
        <f t="shared" si="12"/>
        <v>0.2688729016786571</v>
      </c>
      <c r="K63" s="25">
        <f t="shared" si="13"/>
        <v>0.023579175104751365</v>
      </c>
      <c r="L63" s="25">
        <f t="shared" si="14"/>
        <v>0</v>
      </c>
      <c r="M63" s="25">
        <f t="shared" si="15"/>
        <v>0.012764485002390353</v>
      </c>
      <c r="N63" s="26">
        <f t="shared" si="16"/>
        <v>0.019019324582461517</v>
      </c>
      <c r="O63" s="25">
        <f t="shared" si="17"/>
        <v>0.024113103528171965</v>
      </c>
      <c r="P63" s="25">
        <f t="shared" si="18"/>
        <v>0</v>
      </c>
      <c r="Q63" s="25">
        <f t="shared" si="19"/>
        <v>0.011531066116851226</v>
      </c>
      <c r="R63" s="27">
        <f t="shared" si="20"/>
        <v>0.019244217534646772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</row>
    <row r="64" spans="1:74" ht="14.25">
      <c r="A64" s="12" t="s">
        <v>18</v>
      </c>
      <c r="B64" s="23">
        <v>0</v>
      </c>
      <c r="C64" s="23">
        <v>79689</v>
      </c>
      <c r="D64" s="23">
        <v>390</v>
      </c>
      <c r="E64" s="24">
        <f t="shared" si="21"/>
        <v>80079</v>
      </c>
      <c r="F64" s="23">
        <v>0</v>
      </c>
      <c r="G64" s="23">
        <v>98018</v>
      </c>
      <c r="H64" s="23">
        <v>523</v>
      </c>
      <c r="I64" s="24">
        <f t="shared" si="22"/>
        <v>98541</v>
      </c>
      <c r="J64" s="22">
        <f t="shared" si="12"/>
        <v>0.23054733450717416</v>
      </c>
      <c r="K64" s="25">
        <f t="shared" si="13"/>
        <v>0</v>
      </c>
      <c r="L64" s="25">
        <f t="shared" si="14"/>
        <v>0.32518717472458003</v>
      </c>
      <c r="M64" s="25">
        <f t="shared" si="15"/>
        <v>0.0024522902221341073</v>
      </c>
      <c r="N64" s="26">
        <f t="shared" si="16"/>
        <v>0.04869859290931849</v>
      </c>
      <c r="O64" s="25">
        <f t="shared" si="17"/>
        <v>0</v>
      </c>
      <c r="P64" s="25">
        <f t="shared" si="18"/>
        <v>0.30040428566785593</v>
      </c>
      <c r="Q64" s="25">
        <f t="shared" si="19"/>
        <v>0.0030290043089468565</v>
      </c>
      <c r="R64" s="27">
        <f t="shared" si="20"/>
        <v>0.04778612136079094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</row>
    <row r="65" spans="1:74" ht="14.25">
      <c r="A65" s="56" t="s">
        <v>79</v>
      </c>
      <c r="B65" s="23">
        <v>103967</v>
      </c>
      <c r="C65" s="23">
        <v>0</v>
      </c>
      <c r="D65" s="23">
        <v>0</v>
      </c>
      <c r="E65" s="24">
        <f t="shared" si="21"/>
        <v>103967</v>
      </c>
      <c r="F65" s="23">
        <v>140956</v>
      </c>
      <c r="G65" s="23">
        <v>0</v>
      </c>
      <c r="H65" s="23">
        <v>0</v>
      </c>
      <c r="I65" s="24">
        <f t="shared" si="22"/>
        <v>140956</v>
      </c>
      <c r="J65" s="22">
        <f t="shared" si="12"/>
        <v>0.35577635211172776</v>
      </c>
      <c r="K65" s="25">
        <f t="shared" si="13"/>
        <v>0.08382479391744521</v>
      </c>
      <c r="L65" s="25">
        <f t="shared" si="14"/>
        <v>0</v>
      </c>
      <c r="M65" s="25">
        <f t="shared" si="15"/>
        <v>0</v>
      </c>
      <c r="N65" s="26">
        <f t="shared" si="16"/>
        <v>0.06322564728584418</v>
      </c>
      <c r="O65" s="25">
        <f t="shared" si="17"/>
        <v>0.09017288676722487</v>
      </c>
      <c r="P65" s="25">
        <f t="shared" si="18"/>
        <v>0</v>
      </c>
      <c r="Q65" s="25">
        <f t="shared" si="19"/>
        <v>0</v>
      </c>
      <c r="R65" s="27">
        <f t="shared" si="20"/>
        <v>0.06835470030273336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</row>
    <row r="66" spans="1:74" ht="14.25">
      <c r="A66" s="12" t="s">
        <v>52</v>
      </c>
      <c r="B66" s="23">
        <v>145289</v>
      </c>
      <c r="C66" s="23">
        <v>61651</v>
      </c>
      <c r="D66" s="23"/>
      <c r="E66" s="24">
        <f t="shared" si="21"/>
        <v>206940</v>
      </c>
      <c r="F66" s="23">
        <v>166747</v>
      </c>
      <c r="G66" s="23">
        <v>56417</v>
      </c>
      <c r="H66" s="23">
        <v>0</v>
      </c>
      <c r="I66" s="24">
        <f t="shared" si="22"/>
        <v>223164</v>
      </c>
      <c r="J66" s="22">
        <f t="shared" si="12"/>
        <v>0.07839953609741954</v>
      </c>
      <c r="K66" s="25">
        <f t="shared" si="13"/>
        <v>0.11714121291825</v>
      </c>
      <c r="L66" s="25">
        <f t="shared" si="14"/>
        <v>0.2515794464599265</v>
      </c>
      <c r="M66" s="25">
        <f t="shared" si="15"/>
        <v>0</v>
      </c>
      <c r="N66" s="26">
        <f t="shared" si="16"/>
        <v>0.1258468114818413</v>
      </c>
      <c r="O66" s="25">
        <f t="shared" si="17"/>
        <v>0.10667199941665802</v>
      </c>
      <c r="P66" s="25">
        <f t="shared" si="18"/>
        <v>0.17290608443881153</v>
      </c>
      <c r="Q66" s="25">
        <f t="shared" si="19"/>
        <v>0</v>
      </c>
      <c r="R66" s="27">
        <f t="shared" si="20"/>
        <v>0.10822035485086968</v>
      </c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</row>
    <row r="67" spans="1:74" ht="14.25">
      <c r="A67" s="12" t="s">
        <v>20</v>
      </c>
      <c r="B67" s="23">
        <v>0</v>
      </c>
      <c r="C67" s="23">
        <f>2801*0.73</f>
        <v>2044.73</v>
      </c>
      <c r="D67" s="23">
        <f>83137*0.73</f>
        <v>60690.01</v>
      </c>
      <c r="E67" s="24">
        <f t="shared" si="21"/>
        <v>62734.740000000005</v>
      </c>
      <c r="F67" s="23">
        <v>0</v>
      </c>
      <c r="G67" s="23">
        <v>7439</v>
      </c>
      <c r="H67" s="23">
        <v>65469</v>
      </c>
      <c r="I67" s="24">
        <f t="shared" si="22"/>
        <v>72908</v>
      </c>
      <c r="J67" s="22">
        <f t="shared" si="12"/>
        <v>0.16216310133747258</v>
      </c>
      <c r="K67" s="25">
        <f t="shared" si="13"/>
        <v>0</v>
      </c>
      <c r="L67" s="25">
        <f t="shared" si="14"/>
        <v>0.008343936701107939</v>
      </c>
      <c r="M67" s="25">
        <f t="shared" si="15"/>
        <v>0.3816141489851826</v>
      </c>
      <c r="N67" s="26">
        <f t="shared" si="16"/>
        <v>0.038150995448643706</v>
      </c>
      <c r="O67" s="25">
        <f t="shared" si="17"/>
        <v>0</v>
      </c>
      <c r="P67" s="25">
        <f t="shared" si="18"/>
        <v>0.022798949999828403</v>
      </c>
      <c r="Q67" s="25">
        <f t="shared" si="19"/>
        <v>0.3791699485706343</v>
      </c>
      <c r="R67" s="27">
        <f t="shared" si="20"/>
        <v>0.03535574569136244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</row>
    <row r="68" spans="1:74" ht="14.25">
      <c r="A68" s="12" t="s">
        <v>21</v>
      </c>
      <c r="B68" s="23">
        <v>30215</v>
      </c>
      <c r="C68" s="23">
        <v>2</v>
      </c>
      <c r="D68" s="23">
        <v>587</v>
      </c>
      <c r="E68" s="24">
        <f t="shared" si="21"/>
        <v>30804</v>
      </c>
      <c r="F68" s="23">
        <v>43637</v>
      </c>
      <c r="G68" s="23">
        <v>2</v>
      </c>
      <c r="H68" s="23">
        <v>159</v>
      </c>
      <c r="I68" s="24">
        <f t="shared" si="22"/>
        <v>43798</v>
      </c>
      <c r="J68" s="22">
        <f t="shared" si="12"/>
        <v>0.42182833398259967</v>
      </c>
      <c r="K68" s="25">
        <f t="shared" si="13"/>
        <v>0.02436125066815054</v>
      </c>
      <c r="L68" s="25">
        <f t="shared" si="14"/>
        <v>8.161406837194093E-06</v>
      </c>
      <c r="M68" s="25">
        <f t="shared" si="15"/>
        <v>0.003691011180494156</v>
      </c>
      <c r="N68" s="26">
        <f t="shared" si="16"/>
        <v>0.018732894466447467</v>
      </c>
      <c r="O68" s="25">
        <f t="shared" si="17"/>
        <v>0.02791562090199347</v>
      </c>
      <c r="P68" s="25">
        <f t="shared" si="18"/>
        <v>6.1295738674091685E-06</v>
      </c>
      <c r="Q68" s="25">
        <f t="shared" si="19"/>
        <v>0.0009208636426817402</v>
      </c>
      <c r="R68" s="27">
        <f t="shared" si="20"/>
        <v>0.021239246033223955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</row>
    <row r="69" spans="1:74" ht="14.25">
      <c r="A69" s="12" t="s">
        <v>22</v>
      </c>
      <c r="B69" s="23">
        <v>0</v>
      </c>
      <c r="C69" s="23">
        <v>0</v>
      </c>
      <c r="D69" s="23">
        <v>5012</v>
      </c>
      <c r="E69" s="24">
        <f t="shared" si="21"/>
        <v>5012</v>
      </c>
      <c r="F69" s="23">
        <v>0</v>
      </c>
      <c r="G69" s="23">
        <v>0</v>
      </c>
      <c r="H69" s="23">
        <v>6684</v>
      </c>
      <c r="I69" s="24">
        <f t="shared" si="22"/>
        <v>6684</v>
      </c>
      <c r="J69" s="22">
        <f t="shared" si="12"/>
        <v>0.33359936153232245</v>
      </c>
      <c r="K69" s="25">
        <f t="shared" si="13"/>
        <v>0</v>
      </c>
      <c r="L69" s="25">
        <f t="shared" si="14"/>
        <v>0</v>
      </c>
      <c r="M69" s="25">
        <f t="shared" si="15"/>
        <v>0.03151507331624653</v>
      </c>
      <c r="N69" s="26">
        <f t="shared" si="16"/>
        <v>0.0030479569882429134</v>
      </c>
      <c r="O69" s="25">
        <f t="shared" si="17"/>
        <v>0</v>
      </c>
      <c r="P69" s="25">
        <f t="shared" si="18"/>
        <v>0</v>
      </c>
      <c r="Q69" s="25">
        <f t="shared" si="19"/>
        <v>0.03871102256405504</v>
      </c>
      <c r="R69" s="27">
        <f t="shared" si="20"/>
        <v>0.0032413151396426527</v>
      </c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</row>
    <row r="70" spans="1:74" ht="14.25">
      <c r="A70" s="12" t="s">
        <v>23</v>
      </c>
      <c r="B70" s="23">
        <v>0</v>
      </c>
      <c r="C70" s="23">
        <v>0</v>
      </c>
      <c r="D70" s="23">
        <v>397</v>
      </c>
      <c r="E70" s="24">
        <f t="shared" si="21"/>
        <v>397</v>
      </c>
      <c r="F70" s="23">
        <v>0</v>
      </c>
      <c r="G70" s="23">
        <v>0</v>
      </c>
      <c r="H70" s="23">
        <v>243</v>
      </c>
      <c r="I70" s="24">
        <f t="shared" si="22"/>
        <v>243</v>
      </c>
      <c r="J70" s="22">
        <f t="shared" si="12"/>
        <v>-0.3879093198992443</v>
      </c>
      <c r="K70" s="25">
        <f t="shared" si="13"/>
        <v>0</v>
      </c>
      <c r="L70" s="25">
        <f t="shared" si="14"/>
        <v>0</v>
      </c>
      <c r="M70" s="25">
        <f t="shared" si="15"/>
        <v>0.0024963056876595915</v>
      </c>
      <c r="N70" s="26">
        <f t="shared" si="16"/>
        <v>0.000241428356810143</v>
      </c>
      <c r="O70" s="25">
        <f t="shared" si="17"/>
        <v>0</v>
      </c>
      <c r="P70" s="25">
        <f t="shared" si="18"/>
        <v>0</v>
      </c>
      <c r="Q70" s="25">
        <f t="shared" si="19"/>
        <v>0.0014073576425890748</v>
      </c>
      <c r="R70" s="27">
        <f t="shared" si="20"/>
        <v>0.0001178395539995758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</row>
    <row r="71" spans="1:74" ht="14.25">
      <c r="A71" s="12" t="s">
        <v>24</v>
      </c>
      <c r="B71" s="23">
        <v>4368</v>
      </c>
      <c r="C71" s="23">
        <v>0</v>
      </c>
      <c r="D71" s="23">
        <v>0</v>
      </c>
      <c r="E71" s="24">
        <f t="shared" si="21"/>
        <v>4368</v>
      </c>
      <c r="F71" s="23">
        <v>4824</v>
      </c>
      <c r="G71" s="23">
        <v>851</v>
      </c>
      <c r="H71" s="23">
        <v>0</v>
      </c>
      <c r="I71" s="24">
        <f t="shared" si="22"/>
        <v>5675</v>
      </c>
      <c r="J71" s="22">
        <f t="shared" si="12"/>
        <v>0.2992216117216117</v>
      </c>
      <c r="K71" s="25">
        <f t="shared" si="13"/>
        <v>0.0035217588256985454</v>
      </c>
      <c r="L71" s="25">
        <f t="shared" si="14"/>
        <v>0</v>
      </c>
      <c r="M71" s="25">
        <f t="shared" si="15"/>
        <v>0</v>
      </c>
      <c r="N71" s="26">
        <f t="shared" si="16"/>
        <v>0.0026563200567927066</v>
      </c>
      <c r="O71" s="25">
        <f t="shared" si="17"/>
        <v>0.003086026886156622</v>
      </c>
      <c r="P71" s="25">
        <f t="shared" si="18"/>
        <v>0.002608133680582601</v>
      </c>
      <c r="Q71" s="25">
        <f t="shared" si="19"/>
        <v>0</v>
      </c>
      <c r="R71" s="27">
        <f t="shared" si="20"/>
        <v>0.0027520142755044965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</row>
    <row r="72" spans="1:74" ht="14.25">
      <c r="A72" s="12" t="s">
        <v>25</v>
      </c>
      <c r="B72" s="23">
        <v>48882</v>
      </c>
      <c r="C72" s="23">
        <v>1970</v>
      </c>
      <c r="D72" s="23">
        <v>989</v>
      </c>
      <c r="E72" s="24">
        <f t="shared" si="21"/>
        <v>51841</v>
      </c>
      <c r="F72" s="23">
        <v>76770</v>
      </c>
      <c r="G72" s="23">
        <v>2128</v>
      </c>
      <c r="H72" s="23">
        <v>1509</v>
      </c>
      <c r="I72" s="24">
        <f t="shared" si="22"/>
        <v>80407</v>
      </c>
      <c r="J72" s="22">
        <f t="shared" si="12"/>
        <v>0.5510310372099304</v>
      </c>
      <c r="K72" s="25">
        <f t="shared" si="13"/>
        <v>0.0394117708145138</v>
      </c>
      <c r="L72" s="25">
        <f t="shared" si="14"/>
        <v>0.008038985734636182</v>
      </c>
      <c r="M72" s="25">
        <f t="shared" si="15"/>
        <v>0.006218756486386237</v>
      </c>
      <c r="N72" s="26">
        <f t="shared" si="16"/>
        <v>0.03152616484986051</v>
      </c>
      <c r="O72" s="25">
        <f t="shared" si="17"/>
        <v>0.04911158458752982</v>
      </c>
      <c r="P72" s="25">
        <f t="shared" si="18"/>
        <v>0.006521866594923355</v>
      </c>
      <c r="Q72" s="25">
        <f t="shared" si="19"/>
        <v>0.008739517212621045</v>
      </c>
      <c r="R72" s="27">
        <f t="shared" si="20"/>
        <v>0.03899228402651807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</row>
    <row r="73" spans="1:74" ht="14.25">
      <c r="A73" s="12" t="s">
        <v>26</v>
      </c>
      <c r="B73" s="23">
        <v>5923</v>
      </c>
      <c r="C73" s="23">
        <v>3776</v>
      </c>
      <c r="D73" s="23">
        <v>0</v>
      </c>
      <c r="E73" s="24">
        <f t="shared" si="21"/>
        <v>9699</v>
      </c>
      <c r="F73" s="23">
        <v>7113</v>
      </c>
      <c r="G73" s="23">
        <v>4329</v>
      </c>
      <c r="H73" s="23">
        <v>0</v>
      </c>
      <c r="I73" s="24">
        <f t="shared" si="22"/>
        <v>11442</v>
      </c>
      <c r="J73" s="22">
        <f t="shared" si="12"/>
        <v>0.17970924837612126</v>
      </c>
      <c r="K73" s="25">
        <f t="shared" si="13"/>
        <v>0.004775498517539488</v>
      </c>
      <c r="L73" s="25">
        <f t="shared" si="14"/>
        <v>0.015408736108622449</v>
      </c>
      <c r="M73" s="25">
        <f t="shared" si="15"/>
        <v>0</v>
      </c>
      <c r="N73" s="26">
        <f t="shared" si="16"/>
        <v>0.005898271115117322</v>
      </c>
      <c r="O73" s="25">
        <f t="shared" si="17"/>
        <v>0.004550354320321736</v>
      </c>
      <c r="P73" s="25">
        <f t="shared" si="18"/>
        <v>0.013267462636007145</v>
      </c>
      <c r="Q73" s="25">
        <f t="shared" si="19"/>
        <v>0</v>
      </c>
      <c r="R73" s="27">
        <f t="shared" si="20"/>
        <v>0.00554864270314052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</row>
    <row r="74" spans="1:74" ht="14.25">
      <c r="A74" s="12" t="s">
        <v>27</v>
      </c>
      <c r="B74" s="23">
        <v>146378</v>
      </c>
      <c r="C74" s="23">
        <v>35763</v>
      </c>
      <c r="D74" s="23">
        <v>296</v>
      </c>
      <c r="E74" s="24">
        <f t="shared" si="21"/>
        <v>182437</v>
      </c>
      <c r="F74" s="23">
        <v>176249</v>
      </c>
      <c r="G74" s="23">
        <v>45674</v>
      </c>
      <c r="H74" s="23">
        <v>605</v>
      </c>
      <c r="I74" s="24">
        <f t="shared" si="22"/>
        <v>222528</v>
      </c>
      <c r="J74" s="22">
        <f t="shared" si="12"/>
        <v>0.21975257212078692</v>
      </c>
      <c r="K74" s="25">
        <f t="shared" si="13"/>
        <v>0.11801923383427236</v>
      </c>
      <c r="L74" s="25">
        <f t="shared" si="14"/>
        <v>0.14593819635928618</v>
      </c>
      <c r="M74" s="25">
        <f t="shared" si="15"/>
        <v>0.0018612253993633226</v>
      </c>
      <c r="N74" s="26">
        <f t="shared" si="16"/>
        <v>0.11094575599841829</v>
      </c>
      <c r="O74" s="25">
        <f t="shared" si="17"/>
        <v>0.11275065353611494</v>
      </c>
      <c r="P74" s="25">
        <f t="shared" si="18"/>
        <v>0.13998107841002316</v>
      </c>
      <c r="Q74" s="25">
        <f t="shared" si="19"/>
        <v>0.0035039151183802065</v>
      </c>
      <c r="R74" s="27">
        <f t="shared" si="20"/>
        <v>0.1079119352774387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</row>
    <row r="75" spans="1:74" ht="14.25">
      <c r="A75" s="12" t="s">
        <v>28</v>
      </c>
      <c r="B75" s="23">
        <v>94013</v>
      </c>
      <c r="C75" s="23">
        <v>33</v>
      </c>
      <c r="D75" s="23">
        <v>1829</v>
      </c>
      <c r="E75" s="24">
        <f t="shared" si="21"/>
        <v>95875</v>
      </c>
      <c r="F75" s="23">
        <v>139489</v>
      </c>
      <c r="G75" s="23">
        <v>5376</v>
      </c>
      <c r="H75" s="23">
        <v>1834</v>
      </c>
      <c r="I75" s="24">
        <f t="shared" si="22"/>
        <v>146699</v>
      </c>
      <c r="J75" s="22">
        <f t="shared" si="12"/>
        <v>0.5301069100391135</v>
      </c>
      <c r="K75" s="25">
        <f t="shared" si="13"/>
        <v>0.07579924736272833</v>
      </c>
      <c r="L75" s="25">
        <f t="shared" si="14"/>
        <v>0.00013466321281370254</v>
      </c>
      <c r="M75" s="25">
        <f t="shared" si="15"/>
        <v>0.011500612349444314</v>
      </c>
      <c r="N75" s="26">
        <f t="shared" si="16"/>
        <v>0.05830464410370897</v>
      </c>
      <c r="O75" s="25">
        <f t="shared" si="17"/>
        <v>0.08923441217311381</v>
      </c>
      <c r="P75" s="25">
        <f t="shared" si="18"/>
        <v>0.016476294555595846</v>
      </c>
      <c r="Q75" s="25">
        <f t="shared" si="19"/>
        <v>0.010621785664643469</v>
      </c>
      <c r="R75" s="27">
        <f t="shared" si="20"/>
        <v>0.07113969025590029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</row>
    <row r="76" spans="1:74" ht="14.25">
      <c r="A76" s="12" t="s">
        <v>29</v>
      </c>
      <c r="B76" s="23">
        <v>0</v>
      </c>
      <c r="C76" s="23">
        <v>0</v>
      </c>
      <c r="D76" s="23">
        <v>29598</v>
      </c>
      <c r="E76" s="24">
        <f t="shared" si="21"/>
        <v>29598</v>
      </c>
      <c r="F76" s="23">
        <v>0</v>
      </c>
      <c r="G76" s="23">
        <v>0</v>
      </c>
      <c r="H76" s="23">
        <v>31278</v>
      </c>
      <c r="I76" s="24">
        <f t="shared" si="22"/>
        <v>31278</v>
      </c>
      <c r="J76" s="22">
        <f t="shared" si="12"/>
        <v>0.05676059193188729</v>
      </c>
      <c r="K76" s="25">
        <f t="shared" si="13"/>
        <v>0</v>
      </c>
      <c r="L76" s="25">
        <f t="shared" si="14"/>
        <v>0</v>
      </c>
      <c r="M76" s="25">
        <f t="shared" si="15"/>
        <v>0.18610996408903926</v>
      </c>
      <c r="N76" s="26">
        <f t="shared" si="16"/>
        <v>0.017999487417800032</v>
      </c>
      <c r="O76" s="25">
        <f t="shared" si="17"/>
        <v>0</v>
      </c>
      <c r="P76" s="25">
        <f t="shared" si="18"/>
        <v>0</v>
      </c>
      <c r="Q76" s="25">
        <f t="shared" si="19"/>
        <v>0.1811495158226382</v>
      </c>
      <c r="R76" s="27">
        <f t="shared" si="20"/>
        <v>0.015167841851846633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</row>
    <row r="77" spans="1:74" ht="14.25">
      <c r="A77" s="12" t="str">
        <f>+A35</f>
        <v>Swiss Re (incl. M&amp;G)</v>
      </c>
      <c r="B77" s="23">
        <f>64324+64950+2141</f>
        <v>131415</v>
      </c>
      <c r="C77" s="23">
        <v>6383</v>
      </c>
      <c r="D77" s="23">
        <v>0</v>
      </c>
      <c r="E77" s="24">
        <f t="shared" si="21"/>
        <v>137798</v>
      </c>
      <c r="F77" s="23">
        <v>171305</v>
      </c>
      <c r="G77" s="23">
        <v>0</v>
      </c>
      <c r="H77" s="23">
        <v>0</v>
      </c>
      <c r="I77" s="24">
        <f t="shared" si="22"/>
        <v>171305</v>
      </c>
      <c r="J77" s="22">
        <f t="shared" si="12"/>
        <v>0.24316027808821608</v>
      </c>
      <c r="K77" s="25">
        <f t="shared" si="13"/>
        <v>0.10595511357123955</v>
      </c>
      <c r="L77" s="25">
        <f t="shared" si="14"/>
        <v>0.026047129920904948</v>
      </c>
      <c r="M77" s="25">
        <f t="shared" si="15"/>
        <v>0</v>
      </c>
      <c r="N77" s="26">
        <f t="shared" si="16"/>
        <v>0.08379935695648384</v>
      </c>
      <c r="O77" s="25">
        <f t="shared" si="17"/>
        <v>0.10958785981199422</v>
      </c>
      <c r="P77" s="25">
        <f t="shared" si="18"/>
        <v>0</v>
      </c>
      <c r="Q77" s="25">
        <f t="shared" si="19"/>
        <v>0</v>
      </c>
      <c r="R77" s="27">
        <f t="shared" si="20"/>
        <v>0.08307203620533882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</row>
    <row r="78" spans="1:74" ht="14.25">
      <c r="A78" s="12" t="s">
        <v>30</v>
      </c>
      <c r="B78" s="23">
        <v>190867</v>
      </c>
      <c r="C78" s="23">
        <v>8247</v>
      </c>
      <c r="D78" s="23">
        <v>0</v>
      </c>
      <c r="E78" s="24">
        <f t="shared" si="21"/>
        <v>199114</v>
      </c>
      <c r="F78" s="23">
        <v>208882</v>
      </c>
      <c r="G78" s="23">
        <v>14339</v>
      </c>
      <c r="H78" s="23">
        <v>0</v>
      </c>
      <c r="I78" s="24">
        <f t="shared" si="22"/>
        <v>223221</v>
      </c>
      <c r="J78" s="22">
        <f t="shared" si="12"/>
        <v>0.12107134606305936</v>
      </c>
      <c r="K78" s="25">
        <f t="shared" si="13"/>
        <v>0.15388908923640207</v>
      </c>
      <c r="L78" s="25">
        <f t="shared" si="14"/>
        <v>0.033653561093169845</v>
      </c>
      <c r="M78" s="25">
        <f t="shared" si="15"/>
        <v>0</v>
      </c>
      <c r="N78" s="26">
        <f t="shared" si="16"/>
        <v>0.12108757138008769</v>
      </c>
      <c r="O78" s="25">
        <f t="shared" si="17"/>
        <v>0.13362675539680088</v>
      </c>
      <c r="P78" s="25">
        <f t="shared" si="18"/>
        <v>0.04394597984239003</v>
      </c>
      <c r="Q78" s="25">
        <f t="shared" si="19"/>
        <v>0</v>
      </c>
      <c r="R78" s="27">
        <f t="shared" si="20"/>
        <v>0.10824799622773379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</row>
    <row r="79" spans="1:74" ht="14.25">
      <c r="A79" s="12" t="s">
        <v>31</v>
      </c>
      <c r="B79" s="23">
        <v>1942</v>
      </c>
      <c r="C79" s="23">
        <v>810</v>
      </c>
      <c r="D79" s="23">
        <v>275</v>
      </c>
      <c r="E79" s="24">
        <f t="shared" si="21"/>
        <v>3027</v>
      </c>
      <c r="F79" s="23">
        <v>2233</v>
      </c>
      <c r="G79" s="23">
        <v>1252</v>
      </c>
      <c r="H79" s="23">
        <v>233</v>
      </c>
      <c r="I79" s="24">
        <f t="shared" si="22"/>
        <v>3718</v>
      </c>
      <c r="J79" s="22">
        <f t="shared" si="12"/>
        <v>0.2282788239180707</v>
      </c>
      <c r="K79" s="25">
        <f t="shared" si="13"/>
        <v>0.0015657636537331904</v>
      </c>
      <c r="L79" s="25">
        <f t="shared" si="14"/>
        <v>0.0033053697690636078</v>
      </c>
      <c r="M79" s="25">
        <f t="shared" si="15"/>
        <v>0.0017291790027868705</v>
      </c>
      <c r="N79" s="26">
        <f t="shared" si="16"/>
        <v>0.0018408152041921985</v>
      </c>
      <c r="O79" s="25">
        <f t="shared" si="17"/>
        <v>0.001428502909781869</v>
      </c>
      <c r="P79" s="25">
        <f t="shared" si="18"/>
        <v>0.0038371132409981395</v>
      </c>
      <c r="Q79" s="25">
        <f t="shared" si="19"/>
        <v>0.001349441690219154</v>
      </c>
      <c r="R79" s="27">
        <f t="shared" si="20"/>
        <v>0.001802993669837131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</row>
    <row r="80" spans="1:74" ht="15" thickBot="1">
      <c r="A80" s="12" t="s">
        <v>32</v>
      </c>
      <c r="B80" s="23">
        <v>1159</v>
      </c>
      <c r="C80" s="23">
        <v>0</v>
      </c>
      <c r="D80" s="23">
        <v>0</v>
      </c>
      <c r="E80" s="24">
        <f t="shared" si="21"/>
        <v>1159</v>
      </c>
      <c r="F80" s="23">
        <v>1329</v>
      </c>
      <c r="G80" s="23">
        <v>0</v>
      </c>
      <c r="H80" s="23">
        <v>0</v>
      </c>
      <c r="I80" s="24">
        <f t="shared" si="22"/>
        <v>1329</v>
      </c>
      <c r="J80" s="22">
        <f t="shared" si="12"/>
        <v>0.14667817083692838</v>
      </c>
      <c r="K80" s="25">
        <f t="shared" si="13"/>
        <v>0.0009344593587418988</v>
      </c>
      <c r="L80" s="25">
        <f t="shared" si="14"/>
        <v>0</v>
      </c>
      <c r="M80" s="25">
        <f t="shared" si="15"/>
        <v>0</v>
      </c>
      <c r="N80" s="26">
        <f t="shared" si="16"/>
        <v>0.0007048248502341454</v>
      </c>
      <c r="O80" s="25">
        <f t="shared" si="17"/>
        <v>0.000850192730452353</v>
      </c>
      <c r="P80" s="25">
        <f t="shared" si="18"/>
        <v>0</v>
      </c>
      <c r="Q80" s="25">
        <f t="shared" si="19"/>
        <v>0</v>
      </c>
      <c r="R80" s="27">
        <f t="shared" si="20"/>
        <v>0.000644480523726075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</row>
    <row r="81" spans="1:74" ht="15" thickBot="1">
      <c r="A81" s="28" t="s">
        <v>33</v>
      </c>
      <c r="B81" s="29">
        <f aca="true" t="shared" si="23" ref="B81:I81">SUM(B54:B80)</f>
        <v>1240289.3599999999</v>
      </c>
      <c r="C81" s="29">
        <f t="shared" si="23"/>
        <v>245055.79</v>
      </c>
      <c r="D81" s="29">
        <f t="shared" si="23"/>
        <v>159035.01</v>
      </c>
      <c r="E81" s="30">
        <f t="shared" si="23"/>
        <v>1644380.16</v>
      </c>
      <c r="F81" s="29">
        <f t="shared" si="23"/>
        <v>1563174.9748</v>
      </c>
      <c r="G81" s="29">
        <f t="shared" si="23"/>
        <v>326286.9562</v>
      </c>
      <c r="H81" s="29">
        <f t="shared" si="23"/>
        <v>172664</v>
      </c>
      <c r="I81" s="29">
        <f t="shared" si="23"/>
        <v>2062125.9309999999</v>
      </c>
      <c r="J81" s="31">
        <f t="shared" si="12"/>
        <v>0.25404452155394525</v>
      </c>
      <c r="K81" s="32">
        <f aca="true" t="shared" si="24" ref="K81:R81">SUM(K54:K80)</f>
        <v>1</v>
      </c>
      <c r="L81" s="32">
        <f t="shared" si="24"/>
        <v>1</v>
      </c>
      <c r="M81" s="32">
        <f t="shared" si="24"/>
        <v>1</v>
      </c>
      <c r="N81" s="33">
        <f t="shared" si="24"/>
        <v>1</v>
      </c>
      <c r="O81" s="32">
        <f t="shared" si="24"/>
        <v>1</v>
      </c>
      <c r="P81" s="32">
        <f t="shared" si="24"/>
        <v>0.9999999999999999</v>
      </c>
      <c r="Q81" s="32">
        <f t="shared" si="24"/>
        <v>0.9999999999999998</v>
      </c>
      <c r="R81" s="34">
        <f t="shared" si="24"/>
        <v>1.0000000000000002</v>
      </c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</row>
    <row r="82" spans="1:74" ht="14.25">
      <c r="A82" s="57" t="s">
        <v>80</v>
      </c>
      <c r="B82" s="23"/>
      <c r="C82" s="23"/>
      <c r="D82" s="23"/>
      <c r="E82" s="23"/>
      <c r="F82" s="23"/>
      <c r="G82" s="23"/>
      <c r="H82" s="23"/>
      <c r="I82" s="23"/>
      <c r="J82" s="9"/>
      <c r="K82" s="35"/>
      <c r="L82" s="35"/>
      <c r="M82" s="35"/>
      <c r="N82" s="35"/>
      <c r="O82" s="35"/>
      <c r="P82" s="35"/>
      <c r="Q82" s="35"/>
      <c r="R82" s="35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</row>
    <row r="83" spans="1:74" ht="14.25">
      <c r="A83" s="9"/>
      <c r="B83" s="23"/>
      <c r="C83" s="23"/>
      <c r="D83" s="23"/>
      <c r="E83" s="23"/>
      <c r="F83" s="23"/>
      <c r="G83" s="23"/>
      <c r="H83" s="23"/>
      <c r="I83" s="23"/>
      <c r="J83" s="9"/>
      <c r="K83" s="35"/>
      <c r="L83" s="35"/>
      <c r="M83" s="35"/>
      <c r="N83" s="35"/>
      <c r="O83" s="35"/>
      <c r="P83" s="35"/>
      <c r="Q83" s="35"/>
      <c r="R83" s="35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</row>
    <row r="84" spans="1:74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</row>
    <row r="85" spans="1:74" ht="14.25">
      <c r="A85" s="1" t="str">
        <f>+A43</f>
        <v>Date:</v>
      </c>
      <c r="B85" s="3">
        <f>+B43</f>
        <v>43741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</row>
    <row r="87" spans="1:74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</row>
    <row r="88" spans="1:74" ht="15">
      <c r="A88" s="1"/>
      <c r="B88" s="1"/>
      <c r="C88" s="1"/>
      <c r="D88" s="1"/>
      <c r="E88" s="2" t="s">
        <v>34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</row>
    <row r="89" spans="1:74" ht="15.75" thickBot="1">
      <c r="A89" s="1"/>
      <c r="B89" s="1"/>
      <c r="C89" s="1"/>
      <c r="D89" s="1"/>
      <c r="E89" s="1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</row>
    <row r="90" spans="1:74" ht="15">
      <c r="A90" s="5" t="str">
        <f>+A49</f>
        <v>Canadian Exchange Rate Used: 1996 =  .7300 and 1997 =  .6966</v>
      </c>
      <c r="B90" s="6"/>
      <c r="C90" s="6"/>
      <c r="D90" s="6"/>
      <c r="E90" s="6"/>
      <c r="F90" s="36"/>
      <c r="G90" s="6"/>
      <c r="H90" s="6"/>
      <c r="I90" s="6"/>
      <c r="J90" s="6"/>
      <c r="K90" s="6"/>
      <c r="L90" s="6"/>
      <c r="M90" s="7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</row>
    <row r="91" spans="1:74" ht="15">
      <c r="A91" s="8"/>
      <c r="B91" s="9"/>
      <c r="C91" s="9"/>
      <c r="D91" s="9"/>
      <c r="E91" s="9"/>
      <c r="F91" s="4"/>
      <c r="G91" s="9"/>
      <c r="H91" s="9"/>
      <c r="I91" s="9"/>
      <c r="J91" s="9"/>
      <c r="K91" s="9"/>
      <c r="L91" s="9"/>
      <c r="M91" s="10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</row>
    <row r="92" spans="1:74" ht="14.25">
      <c r="A92" s="12"/>
      <c r="B92" s="9" t="s">
        <v>66</v>
      </c>
      <c r="C92" s="9"/>
      <c r="D92" s="9"/>
      <c r="E92" s="13"/>
      <c r="F92" s="9" t="s">
        <v>65</v>
      </c>
      <c r="G92" s="9"/>
      <c r="H92" s="9"/>
      <c r="I92" s="13"/>
      <c r="J92" s="37" t="s">
        <v>64</v>
      </c>
      <c r="K92" s="9"/>
      <c r="L92" s="9"/>
      <c r="M92" s="10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</row>
    <row r="93" spans="1:74" ht="14.25">
      <c r="A93" s="12"/>
      <c r="B93" s="9"/>
      <c r="C93" s="9">
        <v>1996</v>
      </c>
      <c r="D93" s="9"/>
      <c r="E93" s="13"/>
      <c r="F93" s="9"/>
      <c r="G93" s="9">
        <v>1997</v>
      </c>
      <c r="H93" s="9"/>
      <c r="I93" s="13"/>
      <c r="J93" s="9"/>
      <c r="K93" s="9">
        <v>1997</v>
      </c>
      <c r="L93" s="9"/>
      <c r="M93" s="10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</row>
    <row r="94" spans="1:74" ht="15" thickBot="1">
      <c r="A94" s="15" t="s">
        <v>2</v>
      </c>
      <c r="B94" s="18" t="s">
        <v>3</v>
      </c>
      <c r="C94" s="18" t="s">
        <v>4</v>
      </c>
      <c r="D94" s="18" t="s">
        <v>5</v>
      </c>
      <c r="E94" s="19" t="s">
        <v>6</v>
      </c>
      <c r="F94" s="18" t="s">
        <v>3</v>
      </c>
      <c r="G94" s="18" t="s">
        <v>4</v>
      </c>
      <c r="H94" s="18" t="s">
        <v>5</v>
      </c>
      <c r="I94" s="19" t="s">
        <v>6</v>
      </c>
      <c r="J94" s="18" t="s">
        <v>3</v>
      </c>
      <c r="K94" s="18" t="s">
        <v>4</v>
      </c>
      <c r="L94" s="18" t="s">
        <v>5</v>
      </c>
      <c r="M94" s="21" t="s">
        <v>6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</row>
    <row r="95" spans="1:74" ht="15" thickTop="1">
      <c r="A95" s="12"/>
      <c r="B95" s="9"/>
      <c r="C95" s="9"/>
      <c r="D95" s="9"/>
      <c r="E95" s="13"/>
      <c r="F95" s="9"/>
      <c r="G95" s="9"/>
      <c r="H95" s="9"/>
      <c r="I95" s="13"/>
      <c r="J95" s="9"/>
      <c r="K95" s="9"/>
      <c r="L95" s="9"/>
      <c r="M95" s="10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</row>
    <row r="96" spans="1:74" ht="14.25">
      <c r="A96" s="12" t="str">
        <f>+A54</f>
        <v>Allianz</v>
      </c>
      <c r="B96" s="23">
        <f aca="true" t="shared" si="25" ref="B96:D106">+B54</f>
        <v>42669</v>
      </c>
      <c r="C96" s="23">
        <f t="shared" si="25"/>
        <v>0</v>
      </c>
      <c r="D96" s="23">
        <f t="shared" si="25"/>
        <v>1339</v>
      </c>
      <c r="E96" s="24">
        <f>+D96+C96+B96</f>
        <v>44008</v>
      </c>
      <c r="F96" s="23">
        <f aca="true" t="shared" si="26" ref="F96:H106">+F12</f>
        <v>27870</v>
      </c>
      <c r="G96" s="23">
        <f t="shared" si="26"/>
        <v>0</v>
      </c>
      <c r="H96" s="23">
        <f t="shared" si="26"/>
        <v>20</v>
      </c>
      <c r="I96" s="24">
        <f>+F96+G96+H96</f>
        <v>27890</v>
      </c>
      <c r="J96" s="23">
        <f aca="true" t="shared" si="27" ref="J96:J106">+F54</f>
        <v>64884</v>
      </c>
      <c r="K96" s="23">
        <f aca="true" t="shared" si="28" ref="K96:K106">+G54</f>
        <v>0</v>
      </c>
      <c r="L96" s="23">
        <f aca="true" t="shared" si="29" ref="L96:L106">+H54</f>
        <v>1182</v>
      </c>
      <c r="M96" s="38">
        <f>+L96+K96+J96</f>
        <v>66066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</row>
    <row r="97" spans="1:74" ht="14.25">
      <c r="A97" s="12" t="str">
        <f aca="true" t="shared" si="30" ref="A97:A122">+A55</f>
        <v>AUL</v>
      </c>
      <c r="B97" s="23">
        <f t="shared" si="25"/>
        <v>53663</v>
      </c>
      <c r="C97" s="23">
        <f t="shared" si="25"/>
        <v>0</v>
      </c>
      <c r="D97" s="23">
        <f t="shared" si="25"/>
        <v>230</v>
      </c>
      <c r="E97" s="24">
        <f aca="true" t="shared" si="31" ref="E97:E122">+D97+C97+B97</f>
        <v>53893</v>
      </c>
      <c r="F97" s="23">
        <f t="shared" si="26"/>
        <v>25603</v>
      </c>
      <c r="G97" s="23">
        <f t="shared" si="26"/>
        <v>0</v>
      </c>
      <c r="H97" s="23">
        <f t="shared" si="26"/>
        <v>12</v>
      </c>
      <c r="I97" s="24">
        <f aca="true" t="shared" si="32" ref="I97:I122">+F97+G97+H97</f>
        <v>25615</v>
      </c>
      <c r="J97" s="23">
        <f t="shared" si="27"/>
        <v>69784</v>
      </c>
      <c r="K97" s="23">
        <f t="shared" si="28"/>
        <v>0</v>
      </c>
      <c r="L97" s="23">
        <f t="shared" si="29"/>
        <v>214</v>
      </c>
      <c r="M97" s="38">
        <f aca="true" t="shared" si="33" ref="M97:M122">+L97+K97+J97</f>
        <v>69998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</row>
    <row r="98" spans="1:74" ht="14.25">
      <c r="A98" s="12" t="str">
        <f t="shared" si="30"/>
        <v>BMA</v>
      </c>
      <c r="B98" s="23">
        <f t="shared" si="25"/>
        <v>47019</v>
      </c>
      <c r="C98" s="23">
        <f t="shared" si="25"/>
        <v>0</v>
      </c>
      <c r="D98" s="23">
        <f t="shared" si="25"/>
        <v>0</v>
      </c>
      <c r="E98" s="24">
        <f t="shared" si="31"/>
        <v>47019</v>
      </c>
      <c r="F98" s="23">
        <f t="shared" si="26"/>
        <v>20132</v>
      </c>
      <c r="G98" s="23">
        <f t="shared" si="26"/>
        <v>0</v>
      </c>
      <c r="H98" s="23">
        <f t="shared" si="26"/>
        <v>0</v>
      </c>
      <c r="I98" s="24">
        <f t="shared" si="32"/>
        <v>20132</v>
      </c>
      <c r="J98" s="23">
        <f t="shared" si="27"/>
        <v>59387</v>
      </c>
      <c r="K98" s="23">
        <f t="shared" si="28"/>
        <v>0</v>
      </c>
      <c r="L98" s="23">
        <f t="shared" si="29"/>
        <v>0</v>
      </c>
      <c r="M98" s="38">
        <f t="shared" si="33"/>
        <v>59387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</row>
    <row r="99" spans="1:74" ht="14.25">
      <c r="A99" s="12" t="str">
        <f t="shared" si="30"/>
        <v>CIGNA Re</v>
      </c>
      <c r="B99" s="23">
        <f t="shared" si="25"/>
        <v>14479</v>
      </c>
      <c r="C99" s="23">
        <f t="shared" si="25"/>
        <v>0</v>
      </c>
      <c r="D99" s="23">
        <f t="shared" si="25"/>
        <v>1360</v>
      </c>
      <c r="E99" s="24">
        <f t="shared" si="31"/>
        <v>15839</v>
      </c>
      <c r="F99" s="23">
        <f t="shared" si="26"/>
        <v>1015</v>
      </c>
      <c r="G99" s="23">
        <f t="shared" si="26"/>
        <v>0</v>
      </c>
      <c r="H99" s="23">
        <f t="shared" si="26"/>
        <v>271</v>
      </c>
      <c r="I99" s="24">
        <f t="shared" si="32"/>
        <v>1286</v>
      </c>
      <c r="J99" s="23">
        <f t="shared" si="27"/>
        <v>13705</v>
      </c>
      <c r="K99" s="23">
        <f t="shared" si="28"/>
        <v>0</v>
      </c>
      <c r="L99" s="23">
        <f t="shared" si="29"/>
        <v>1331</v>
      </c>
      <c r="M99" s="38">
        <f t="shared" si="33"/>
        <v>15036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</row>
    <row r="100" spans="1:74" ht="14.25">
      <c r="A100" s="12" t="str">
        <f t="shared" si="30"/>
        <v>CNA</v>
      </c>
      <c r="B100" s="23">
        <f t="shared" si="25"/>
        <v>44030</v>
      </c>
      <c r="C100" s="23">
        <f t="shared" si="25"/>
        <v>0</v>
      </c>
      <c r="D100" s="23">
        <f t="shared" si="25"/>
        <v>5844</v>
      </c>
      <c r="E100" s="24">
        <f t="shared" si="31"/>
        <v>49874</v>
      </c>
      <c r="F100" s="23">
        <f t="shared" si="26"/>
        <v>9473</v>
      </c>
      <c r="G100" s="23">
        <f t="shared" si="26"/>
        <v>0</v>
      </c>
      <c r="H100" s="23">
        <f t="shared" si="26"/>
        <v>5716</v>
      </c>
      <c r="I100" s="24">
        <f t="shared" si="32"/>
        <v>15189</v>
      </c>
      <c r="J100" s="23">
        <f t="shared" si="27"/>
        <v>43079</v>
      </c>
      <c r="K100" s="23">
        <f t="shared" si="28"/>
        <v>0</v>
      </c>
      <c r="L100" s="23">
        <f t="shared" si="29"/>
        <v>14003</v>
      </c>
      <c r="M100" s="38">
        <f t="shared" si="33"/>
        <v>57082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</row>
    <row r="101" spans="1:74" ht="14.25">
      <c r="A101" s="12" t="str">
        <f t="shared" si="30"/>
        <v>Cologne</v>
      </c>
      <c r="B101" s="23">
        <f t="shared" si="25"/>
        <v>52561</v>
      </c>
      <c r="C101" s="23">
        <f t="shared" si="25"/>
        <v>3205</v>
      </c>
      <c r="D101" s="23">
        <f t="shared" si="25"/>
        <v>0</v>
      </c>
      <c r="E101" s="24">
        <f t="shared" si="31"/>
        <v>55766</v>
      </c>
      <c r="F101" s="23">
        <f t="shared" si="26"/>
        <v>14934</v>
      </c>
      <c r="G101" s="23">
        <f t="shared" si="26"/>
        <v>8835</v>
      </c>
      <c r="H101" s="23">
        <f t="shared" si="26"/>
        <v>0</v>
      </c>
      <c r="I101" s="24">
        <f t="shared" si="32"/>
        <v>23769</v>
      </c>
      <c r="J101" s="23">
        <f t="shared" si="27"/>
        <v>60981</v>
      </c>
      <c r="K101" s="23">
        <f t="shared" si="28"/>
        <v>9877</v>
      </c>
      <c r="L101" s="23">
        <f t="shared" si="29"/>
        <v>0</v>
      </c>
      <c r="M101" s="38">
        <f t="shared" si="33"/>
        <v>70858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</row>
    <row r="102" spans="1:74" ht="14.25">
      <c r="A102" s="12" t="str">
        <f t="shared" si="30"/>
        <v>Crown</v>
      </c>
      <c r="B102" s="23">
        <f t="shared" si="25"/>
        <v>13017.36</v>
      </c>
      <c r="C102" s="23">
        <f t="shared" si="25"/>
        <v>2936.06</v>
      </c>
      <c r="D102" s="23">
        <f t="shared" si="25"/>
        <v>0</v>
      </c>
      <c r="E102" s="24">
        <f t="shared" si="31"/>
        <v>15953.42</v>
      </c>
      <c r="F102" s="23">
        <f t="shared" si="26"/>
        <v>3584.007</v>
      </c>
      <c r="G102" s="23">
        <f t="shared" si="26"/>
        <v>0</v>
      </c>
      <c r="H102" s="23">
        <f t="shared" si="26"/>
        <v>0</v>
      </c>
      <c r="I102" s="24">
        <f t="shared" si="32"/>
        <v>3584.007</v>
      </c>
      <c r="J102" s="23">
        <f t="shared" si="27"/>
        <v>14264.9748</v>
      </c>
      <c r="K102" s="23">
        <f t="shared" si="28"/>
        <v>2651.9562</v>
      </c>
      <c r="L102" s="23">
        <f t="shared" si="29"/>
        <v>0</v>
      </c>
      <c r="M102" s="38">
        <f t="shared" si="33"/>
        <v>16916.931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</row>
    <row r="103" spans="1:74" ht="14.25">
      <c r="A103" s="12" t="str">
        <f t="shared" si="30"/>
        <v>Employers/ERC</v>
      </c>
      <c r="B103" s="23">
        <f t="shared" si="25"/>
        <v>39188</v>
      </c>
      <c r="C103" s="23">
        <f t="shared" si="25"/>
        <v>38546</v>
      </c>
      <c r="D103" s="23">
        <f t="shared" si="25"/>
        <v>6922</v>
      </c>
      <c r="E103" s="24">
        <f t="shared" si="31"/>
        <v>84656</v>
      </c>
      <c r="F103" s="23">
        <f t="shared" si="26"/>
        <v>23757</v>
      </c>
      <c r="G103" s="23">
        <f t="shared" si="26"/>
        <v>64973</v>
      </c>
      <c r="H103" s="23">
        <f t="shared" si="26"/>
        <v>126</v>
      </c>
      <c r="I103" s="24">
        <f t="shared" si="32"/>
        <v>88856</v>
      </c>
      <c r="J103" s="23">
        <f t="shared" si="27"/>
        <v>59863</v>
      </c>
      <c r="K103" s="23">
        <f t="shared" si="28"/>
        <v>77933</v>
      </c>
      <c r="L103" s="23">
        <f t="shared" si="29"/>
        <v>1123</v>
      </c>
      <c r="M103" s="38">
        <f t="shared" si="33"/>
        <v>138919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</row>
    <row r="104" spans="1:74" ht="14.25">
      <c r="A104" s="12" t="str">
        <f t="shared" si="30"/>
        <v>Equitable</v>
      </c>
      <c r="B104" s="23">
        <f t="shared" si="25"/>
        <v>0</v>
      </c>
      <c r="C104" s="23">
        <f t="shared" si="25"/>
        <v>0</v>
      </c>
      <c r="D104" s="23">
        <f t="shared" si="25"/>
        <v>41247</v>
      </c>
      <c r="E104" s="24">
        <f t="shared" si="31"/>
        <v>41247</v>
      </c>
      <c r="F104" s="23">
        <f t="shared" si="26"/>
        <v>0</v>
      </c>
      <c r="G104" s="23">
        <f t="shared" si="26"/>
        <v>0</v>
      </c>
      <c r="H104" s="23">
        <f t="shared" si="26"/>
        <v>9816</v>
      </c>
      <c r="I104" s="24">
        <f t="shared" si="32"/>
        <v>9816</v>
      </c>
      <c r="J104" s="23">
        <f t="shared" si="27"/>
        <v>0</v>
      </c>
      <c r="K104" s="23">
        <f t="shared" si="28"/>
        <v>0</v>
      </c>
      <c r="L104" s="23">
        <f t="shared" si="29"/>
        <v>44283</v>
      </c>
      <c r="M104" s="38">
        <f t="shared" si="33"/>
        <v>44283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</row>
    <row r="105" spans="1:74" ht="14.25">
      <c r="A105" s="12" t="str">
        <f t="shared" si="30"/>
        <v>Gerling Global</v>
      </c>
      <c r="B105" s="23">
        <f t="shared" si="25"/>
        <v>29245</v>
      </c>
      <c r="C105" s="23">
        <f t="shared" si="25"/>
        <v>0</v>
      </c>
      <c r="D105" s="23">
        <f t="shared" si="25"/>
        <v>2030</v>
      </c>
      <c r="E105" s="24">
        <f t="shared" si="31"/>
        <v>31275</v>
      </c>
      <c r="F105" s="23">
        <f t="shared" si="26"/>
        <v>13217</v>
      </c>
      <c r="G105" s="23">
        <f t="shared" si="26"/>
        <v>0</v>
      </c>
      <c r="H105" s="23">
        <f t="shared" si="26"/>
        <v>276</v>
      </c>
      <c r="I105" s="24">
        <f t="shared" si="32"/>
        <v>13493</v>
      </c>
      <c r="J105" s="23">
        <f t="shared" si="27"/>
        <v>37693</v>
      </c>
      <c r="K105" s="23">
        <f t="shared" si="28"/>
        <v>0</v>
      </c>
      <c r="L105" s="23">
        <f t="shared" si="29"/>
        <v>1991</v>
      </c>
      <c r="M105" s="38">
        <f t="shared" si="33"/>
        <v>39684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</row>
    <row r="106" spans="1:74" ht="14.25">
      <c r="A106" s="12" t="str">
        <f t="shared" si="30"/>
        <v>Guardian</v>
      </c>
      <c r="B106" s="23">
        <f t="shared" si="25"/>
        <v>0</v>
      </c>
      <c r="C106" s="23">
        <f t="shared" si="25"/>
        <v>79689</v>
      </c>
      <c r="D106" s="23">
        <f t="shared" si="25"/>
        <v>390</v>
      </c>
      <c r="E106" s="24">
        <f t="shared" si="31"/>
        <v>80079</v>
      </c>
      <c r="F106" s="23">
        <f t="shared" si="26"/>
        <v>0</v>
      </c>
      <c r="G106" s="23">
        <f t="shared" si="26"/>
        <v>28628</v>
      </c>
      <c r="H106" s="23">
        <f t="shared" si="26"/>
        <v>155</v>
      </c>
      <c r="I106" s="24">
        <f t="shared" si="32"/>
        <v>28783</v>
      </c>
      <c r="J106" s="23">
        <f t="shared" si="27"/>
        <v>0</v>
      </c>
      <c r="K106" s="23">
        <f t="shared" si="28"/>
        <v>98018</v>
      </c>
      <c r="L106" s="23">
        <f t="shared" si="29"/>
        <v>523</v>
      </c>
      <c r="M106" s="38">
        <f t="shared" si="33"/>
        <v>98541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</row>
    <row r="107" spans="1:74" ht="14.25">
      <c r="A107" s="12" t="str">
        <f t="shared" si="30"/>
        <v>Life Re*</v>
      </c>
      <c r="B107" s="23">
        <f aca="true" t="shared" si="34" ref="B107:D120">+B65</f>
        <v>103967</v>
      </c>
      <c r="C107" s="23">
        <f t="shared" si="34"/>
        <v>0</v>
      </c>
      <c r="D107" s="23">
        <f t="shared" si="34"/>
        <v>0</v>
      </c>
      <c r="E107" s="24">
        <f t="shared" si="31"/>
        <v>103967</v>
      </c>
      <c r="F107" s="23">
        <f aca="true" t="shared" si="35" ref="F107:H120">+F23</f>
        <v>51088</v>
      </c>
      <c r="G107" s="23">
        <f t="shared" si="35"/>
        <v>0</v>
      </c>
      <c r="H107" s="23">
        <f t="shared" si="35"/>
        <v>0</v>
      </c>
      <c r="I107" s="24">
        <f t="shared" si="32"/>
        <v>51088</v>
      </c>
      <c r="J107" s="23">
        <f aca="true" t="shared" si="36" ref="J107:J122">+F65</f>
        <v>140956</v>
      </c>
      <c r="K107" s="23">
        <f aca="true" t="shared" si="37" ref="K107:K122">+G65</f>
        <v>0</v>
      </c>
      <c r="L107" s="23">
        <f aca="true" t="shared" si="38" ref="L107:L122">+H65</f>
        <v>0</v>
      </c>
      <c r="M107" s="38">
        <f t="shared" si="33"/>
        <v>140956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</row>
    <row r="108" spans="1:74" ht="14.25">
      <c r="A108" s="12" t="str">
        <f t="shared" si="30"/>
        <v>Lincoln Re</v>
      </c>
      <c r="B108" s="23">
        <f t="shared" si="34"/>
        <v>145289</v>
      </c>
      <c r="C108" s="23">
        <f t="shared" si="34"/>
        <v>61651</v>
      </c>
      <c r="D108" s="23">
        <f t="shared" si="34"/>
        <v>0</v>
      </c>
      <c r="E108" s="24">
        <f t="shared" si="31"/>
        <v>206940</v>
      </c>
      <c r="F108" s="23">
        <f t="shared" si="35"/>
        <v>39897</v>
      </c>
      <c r="G108" s="23">
        <f t="shared" si="35"/>
        <v>0</v>
      </c>
      <c r="H108" s="23">
        <f t="shared" si="35"/>
        <v>0</v>
      </c>
      <c r="I108" s="24">
        <f t="shared" si="32"/>
        <v>39897</v>
      </c>
      <c r="J108" s="23">
        <f t="shared" si="36"/>
        <v>166747</v>
      </c>
      <c r="K108" s="23">
        <f t="shared" si="37"/>
        <v>56417</v>
      </c>
      <c r="L108" s="23">
        <f t="shared" si="38"/>
        <v>0</v>
      </c>
      <c r="M108" s="38">
        <f t="shared" si="33"/>
        <v>223164</v>
      </c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</row>
    <row r="109" spans="1:74" ht="14.25">
      <c r="A109" s="12" t="str">
        <f t="shared" si="30"/>
        <v>Manufacturers Life</v>
      </c>
      <c r="B109" s="23">
        <f t="shared" si="34"/>
        <v>0</v>
      </c>
      <c r="C109" s="23">
        <f t="shared" si="34"/>
        <v>2044.73</v>
      </c>
      <c r="D109" s="23">
        <f t="shared" si="34"/>
        <v>60690.01</v>
      </c>
      <c r="E109" s="24">
        <f t="shared" si="31"/>
        <v>62734.740000000005</v>
      </c>
      <c r="F109" s="23">
        <f t="shared" si="35"/>
        <v>0</v>
      </c>
      <c r="G109" s="23">
        <f t="shared" si="35"/>
        <v>5535</v>
      </c>
      <c r="H109" s="23">
        <f t="shared" si="35"/>
        <v>13104</v>
      </c>
      <c r="I109" s="24">
        <f t="shared" si="32"/>
        <v>18639</v>
      </c>
      <c r="J109" s="23">
        <f t="shared" si="36"/>
        <v>0</v>
      </c>
      <c r="K109" s="23">
        <f t="shared" si="37"/>
        <v>7439</v>
      </c>
      <c r="L109" s="23">
        <f t="shared" si="38"/>
        <v>65469</v>
      </c>
      <c r="M109" s="38">
        <f t="shared" si="33"/>
        <v>72908</v>
      </c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</row>
    <row r="110" spans="1:74" ht="14.25">
      <c r="A110" s="12" t="str">
        <f t="shared" si="30"/>
        <v>Munich American Re</v>
      </c>
      <c r="B110" s="23">
        <f t="shared" si="34"/>
        <v>30215</v>
      </c>
      <c r="C110" s="23">
        <f t="shared" si="34"/>
        <v>2</v>
      </c>
      <c r="D110" s="23">
        <f t="shared" si="34"/>
        <v>587</v>
      </c>
      <c r="E110" s="24">
        <f t="shared" si="31"/>
        <v>30804</v>
      </c>
      <c r="F110" s="23">
        <f t="shared" si="35"/>
        <v>17937</v>
      </c>
      <c r="G110" s="23">
        <f t="shared" si="35"/>
        <v>0</v>
      </c>
      <c r="H110" s="23">
        <f t="shared" si="35"/>
        <v>0</v>
      </c>
      <c r="I110" s="24">
        <f t="shared" si="32"/>
        <v>17937</v>
      </c>
      <c r="J110" s="23">
        <f t="shared" si="36"/>
        <v>43637</v>
      </c>
      <c r="K110" s="23">
        <f t="shared" si="37"/>
        <v>2</v>
      </c>
      <c r="L110" s="23">
        <f t="shared" si="38"/>
        <v>159</v>
      </c>
      <c r="M110" s="38">
        <f t="shared" si="33"/>
        <v>43798</v>
      </c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</row>
    <row r="111" spans="1:74" ht="14.25">
      <c r="A111" s="12" t="str">
        <f t="shared" si="30"/>
        <v>Mutual Group</v>
      </c>
      <c r="B111" s="23">
        <f t="shared" si="34"/>
        <v>0</v>
      </c>
      <c r="C111" s="23">
        <f t="shared" si="34"/>
        <v>0</v>
      </c>
      <c r="D111" s="23">
        <f t="shared" si="34"/>
        <v>5012</v>
      </c>
      <c r="E111" s="24">
        <f t="shared" si="31"/>
        <v>5012</v>
      </c>
      <c r="F111" s="23">
        <f t="shared" si="35"/>
        <v>0</v>
      </c>
      <c r="G111" s="23">
        <f t="shared" si="35"/>
        <v>0</v>
      </c>
      <c r="H111" s="23">
        <f t="shared" si="35"/>
        <v>2462</v>
      </c>
      <c r="I111" s="24">
        <f t="shared" si="32"/>
        <v>2462</v>
      </c>
      <c r="J111" s="23">
        <f t="shared" si="36"/>
        <v>0</v>
      </c>
      <c r="K111" s="23">
        <f t="shared" si="37"/>
        <v>0</v>
      </c>
      <c r="L111" s="23">
        <f t="shared" si="38"/>
        <v>6684</v>
      </c>
      <c r="M111" s="38">
        <f t="shared" si="33"/>
        <v>6684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</row>
    <row r="112" spans="1:74" ht="14.25">
      <c r="A112" s="12" t="str">
        <f t="shared" si="30"/>
        <v>Optimum Re (CAN)</v>
      </c>
      <c r="B112" s="23">
        <f t="shared" si="34"/>
        <v>0</v>
      </c>
      <c r="C112" s="23">
        <f t="shared" si="34"/>
        <v>0</v>
      </c>
      <c r="D112" s="23">
        <f t="shared" si="34"/>
        <v>397</v>
      </c>
      <c r="E112" s="24">
        <f t="shared" si="31"/>
        <v>397</v>
      </c>
      <c r="F112" s="23">
        <f t="shared" si="35"/>
        <v>0</v>
      </c>
      <c r="G112" s="23">
        <f t="shared" si="35"/>
        <v>0</v>
      </c>
      <c r="H112" s="23">
        <f t="shared" si="35"/>
        <v>1</v>
      </c>
      <c r="I112" s="24">
        <f t="shared" si="32"/>
        <v>1</v>
      </c>
      <c r="J112" s="23">
        <f t="shared" si="36"/>
        <v>0</v>
      </c>
      <c r="K112" s="23">
        <f t="shared" si="37"/>
        <v>0</v>
      </c>
      <c r="L112" s="23">
        <f t="shared" si="38"/>
        <v>243</v>
      </c>
      <c r="M112" s="38">
        <f t="shared" si="33"/>
        <v>243</v>
      </c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</row>
    <row r="113" spans="1:74" ht="14.25">
      <c r="A113" s="12" t="str">
        <f t="shared" si="30"/>
        <v>Optimum Re (US)</v>
      </c>
      <c r="B113" s="23">
        <f t="shared" si="34"/>
        <v>4368</v>
      </c>
      <c r="C113" s="23">
        <f t="shared" si="34"/>
        <v>0</v>
      </c>
      <c r="D113" s="23">
        <f t="shared" si="34"/>
        <v>0</v>
      </c>
      <c r="E113" s="24">
        <f t="shared" si="31"/>
        <v>4368</v>
      </c>
      <c r="F113" s="23">
        <f t="shared" si="35"/>
        <v>1439</v>
      </c>
      <c r="G113" s="23">
        <f t="shared" si="35"/>
        <v>851</v>
      </c>
      <c r="H113" s="23">
        <f t="shared" si="35"/>
        <v>0</v>
      </c>
      <c r="I113" s="24">
        <f t="shared" si="32"/>
        <v>2290</v>
      </c>
      <c r="J113" s="23">
        <f t="shared" si="36"/>
        <v>4824</v>
      </c>
      <c r="K113" s="23">
        <f t="shared" si="37"/>
        <v>851</v>
      </c>
      <c r="L113" s="23">
        <f t="shared" si="38"/>
        <v>0</v>
      </c>
      <c r="M113" s="38">
        <f t="shared" si="33"/>
        <v>5675</v>
      </c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</row>
    <row r="114" spans="1:74" ht="14.25">
      <c r="A114" s="12" t="str">
        <f t="shared" si="30"/>
        <v>Phoenix Home Life</v>
      </c>
      <c r="B114" s="23">
        <f t="shared" si="34"/>
        <v>48882</v>
      </c>
      <c r="C114" s="23">
        <f t="shared" si="34"/>
        <v>1970</v>
      </c>
      <c r="D114" s="23">
        <f t="shared" si="34"/>
        <v>989</v>
      </c>
      <c r="E114" s="24">
        <f t="shared" si="31"/>
        <v>51841</v>
      </c>
      <c r="F114" s="23">
        <f t="shared" si="35"/>
        <v>34347</v>
      </c>
      <c r="G114" s="23">
        <f t="shared" si="35"/>
        <v>216</v>
      </c>
      <c r="H114" s="23">
        <f t="shared" si="35"/>
        <v>650</v>
      </c>
      <c r="I114" s="24">
        <f t="shared" si="32"/>
        <v>35213</v>
      </c>
      <c r="J114" s="23">
        <f t="shared" si="36"/>
        <v>76770</v>
      </c>
      <c r="K114" s="23">
        <f t="shared" si="37"/>
        <v>2128</v>
      </c>
      <c r="L114" s="23">
        <f t="shared" si="38"/>
        <v>1509</v>
      </c>
      <c r="M114" s="38">
        <f t="shared" si="33"/>
        <v>80407</v>
      </c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</row>
    <row r="115" spans="1:74" ht="14.25">
      <c r="A115" s="12" t="str">
        <f t="shared" si="30"/>
        <v>Reassurance Co. of Hannover</v>
      </c>
      <c r="B115" s="23">
        <f t="shared" si="34"/>
        <v>5923</v>
      </c>
      <c r="C115" s="23">
        <f t="shared" si="34"/>
        <v>3776</v>
      </c>
      <c r="D115" s="23">
        <f t="shared" si="34"/>
        <v>0</v>
      </c>
      <c r="E115" s="24">
        <f t="shared" si="31"/>
        <v>9699</v>
      </c>
      <c r="F115" s="23">
        <f t="shared" si="35"/>
        <v>2333</v>
      </c>
      <c r="G115" s="23">
        <f t="shared" si="35"/>
        <v>1317</v>
      </c>
      <c r="H115" s="23">
        <f t="shared" si="35"/>
        <v>0</v>
      </c>
      <c r="I115" s="24">
        <f t="shared" si="32"/>
        <v>3650</v>
      </c>
      <c r="J115" s="23">
        <f t="shared" si="36"/>
        <v>7113</v>
      </c>
      <c r="K115" s="23">
        <f t="shared" si="37"/>
        <v>4329</v>
      </c>
      <c r="L115" s="23">
        <f t="shared" si="38"/>
        <v>0</v>
      </c>
      <c r="M115" s="38">
        <f t="shared" si="33"/>
        <v>11442</v>
      </c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</row>
    <row r="116" spans="1:74" ht="14.25">
      <c r="A116" s="12" t="str">
        <f t="shared" si="30"/>
        <v>RGA</v>
      </c>
      <c r="B116" s="23">
        <f t="shared" si="34"/>
        <v>146378</v>
      </c>
      <c r="C116" s="23">
        <f t="shared" si="34"/>
        <v>35763</v>
      </c>
      <c r="D116" s="23">
        <f t="shared" si="34"/>
        <v>296</v>
      </c>
      <c r="E116" s="24">
        <f t="shared" si="31"/>
        <v>182437</v>
      </c>
      <c r="F116" s="23">
        <f t="shared" si="35"/>
        <v>41527</v>
      </c>
      <c r="G116" s="23">
        <f t="shared" si="35"/>
        <v>25167</v>
      </c>
      <c r="H116" s="23">
        <f t="shared" si="35"/>
        <v>208</v>
      </c>
      <c r="I116" s="24">
        <f t="shared" si="32"/>
        <v>66902</v>
      </c>
      <c r="J116" s="23">
        <f t="shared" si="36"/>
        <v>176249</v>
      </c>
      <c r="K116" s="23">
        <f t="shared" si="37"/>
        <v>45674</v>
      </c>
      <c r="L116" s="23">
        <f t="shared" si="38"/>
        <v>605</v>
      </c>
      <c r="M116" s="38">
        <f t="shared" si="33"/>
        <v>222528</v>
      </c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</row>
    <row r="117" spans="1:74" ht="14.25">
      <c r="A117" s="12" t="str">
        <f t="shared" si="30"/>
        <v>Security Life</v>
      </c>
      <c r="B117" s="23">
        <f t="shared" si="34"/>
        <v>94013</v>
      </c>
      <c r="C117" s="23">
        <f t="shared" si="34"/>
        <v>33</v>
      </c>
      <c r="D117" s="23">
        <f t="shared" si="34"/>
        <v>1829</v>
      </c>
      <c r="E117" s="24">
        <f t="shared" si="31"/>
        <v>95875</v>
      </c>
      <c r="F117" s="23">
        <f t="shared" si="35"/>
        <v>62202</v>
      </c>
      <c r="G117" s="23">
        <f t="shared" si="35"/>
        <v>5345</v>
      </c>
      <c r="H117" s="23">
        <f t="shared" si="35"/>
        <v>63</v>
      </c>
      <c r="I117" s="24">
        <f t="shared" si="32"/>
        <v>67610</v>
      </c>
      <c r="J117" s="23">
        <f t="shared" si="36"/>
        <v>139489</v>
      </c>
      <c r="K117" s="23">
        <f t="shared" si="37"/>
        <v>5376</v>
      </c>
      <c r="L117" s="23">
        <f t="shared" si="38"/>
        <v>1834</v>
      </c>
      <c r="M117" s="38">
        <f t="shared" si="33"/>
        <v>146699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</row>
    <row r="118" spans="1:74" ht="14.25">
      <c r="A118" s="12" t="str">
        <f t="shared" si="30"/>
        <v>Sun Life</v>
      </c>
      <c r="B118" s="23">
        <f t="shared" si="34"/>
        <v>0</v>
      </c>
      <c r="C118" s="23">
        <f t="shared" si="34"/>
        <v>0</v>
      </c>
      <c r="D118" s="23">
        <f t="shared" si="34"/>
        <v>29598</v>
      </c>
      <c r="E118" s="24">
        <f t="shared" si="31"/>
        <v>29598</v>
      </c>
      <c r="F118" s="23">
        <f t="shared" si="35"/>
        <v>0</v>
      </c>
      <c r="G118" s="23">
        <f t="shared" si="35"/>
        <v>0</v>
      </c>
      <c r="H118" s="23">
        <f t="shared" si="35"/>
        <v>5613</v>
      </c>
      <c r="I118" s="24">
        <f t="shared" si="32"/>
        <v>5613</v>
      </c>
      <c r="J118" s="23">
        <f t="shared" si="36"/>
        <v>0</v>
      </c>
      <c r="K118" s="23">
        <f t="shared" si="37"/>
        <v>0</v>
      </c>
      <c r="L118" s="23">
        <f t="shared" si="38"/>
        <v>31278</v>
      </c>
      <c r="M118" s="38">
        <f t="shared" si="33"/>
        <v>31278</v>
      </c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</row>
    <row r="119" spans="1:74" ht="14.25">
      <c r="A119" s="12" t="str">
        <f t="shared" si="30"/>
        <v>Swiss Re (incl. M&amp;G)</v>
      </c>
      <c r="B119" s="23">
        <f t="shared" si="34"/>
        <v>131415</v>
      </c>
      <c r="C119" s="23">
        <f t="shared" si="34"/>
        <v>6383</v>
      </c>
      <c r="D119" s="23">
        <f t="shared" si="34"/>
        <v>0</v>
      </c>
      <c r="E119" s="24">
        <f t="shared" si="31"/>
        <v>137798</v>
      </c>
      <c r="F119" s="23">
        <f t="shared" si="35"/>
        <v>58801</v>
      </c>
      <c r="G119" s="23">
        <f t="shared" si="35"/>
        <v>0</v>
      </c>
      <c r="H119" s="23">
        <f t="shared" si="35"/>
        <v>0</v>
      </c>
      <c r="I119" s="24">
        <f t="shared" si="32"/>
        <v>58801</v>
      </c>
      <c r="J119" s="23">
        <f t="shared" si="36"/>
        <v>171305</v>
      </c>
      <c r="K119" s="23">
        <f t="shared" si="37"/>
        <v>0</v>
      </c>
      <c r="L119" s="23">
        <f t="shared" si="38"/>
        <v>0</v>
      </c>
      <c r="M119" s="38">
        <f t="shared" si="33"/>
        <v>171305</v>
      </c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</row>
    <row r="120" spans="1:74" ht="14.25">
      <c r="A120" s="12" t="str">
        <f t="shared" si="30"/>
        <v>Transamerica Re</v>
      </c>
      <c r="B120" s="23">
        <f t="shared" si="34"/>
        <v>190867</v>
      </c>
      <c r="C120" s="23">
        <f t="shared" si="34"/>
        <v>8247</v>
      </c>
      <c r="D120" s="23">
        <f t="shared" si="34"/>
        <v>0</v>
      </c>
      <c r="E120" s="24">
        <f t="shared" si="31"/>
        <v>199114</v>
      </c>
      <c r="F120" s="23">
        <f t="shared" si="35"/>
        <v>59513</v>
      </c>
      <c r="G120" s="23">
        <f t="shared" si="35"/>
        <v>6857</v>
      </c>
      <c r="H120" s="23">
        <f t="shared" si="35"/>
        <v>0</v>
      </c>
      <c r="I120" s="24">
        <f t="shared" si="32"/>
        <v>66370</v>
      </c>
      <c r="J120" s="23">
        <f t="shared" si="36"/>
        <v>208882</v>
      </c>
      <c r="K120" s="23">
        <f t="shared" si="37"/>
        <v>14339</v>
      </c>
      <c r="L120" s="23">
        <f t="shared" si="38"/>
        <v>0</v>
      </c>
      <c r="M120" s="38">
        <f t="shared" si="33"/>
        <v>223221</v>
      </c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</row>
    <row r="121" spans="1:74" ht="14.25">
      <c r="A121" s="12" t="str">
        <f t="shared" si="30"/>
        <v>Winterthur/Republic Vanguard</v>
      </c>
      <c r="B121" s="23">
        <f aca="true" t="shared" si="39" ref="B121:D122">+B79</f>
        <v>1942</v>
      </c>
      <c r="C121" s="23">
        <f t="shared" si="39"/>
        <v>810</v>
      </c>
      <c r="D121" s="23">
        <f t="shared" si="39"/>
        <v>275</v>
      </c>
      <c r="E121" s="24">
        <f t="shared" si="31"/>
        <v>3027</v>
      </c>
      <c r="F121" s="23">
        <f aca="true" t="shared" si="40" ref="F121:H122">+F37</f>
        <v>486</v>
      </c>
      <c r="G121" s="23">
        <f t="shared" si="40"/>
        <v>543</v>
      </c>
      <c r="H121" s="23">
        <f t="shared" si="40"/>
        <v>1</v>
      </c>
      <c r="I121" s="24">
        <f t="shared" si="32"/>
        <v>1030</v>
      </c>
      <c r="J121" s="23">
        <f t="shared" si="36"/>
        <v>2233</v>
      </c>
      <c r="K121" s="23">
        <f t="shared" si="37"/>
        <v>1252</v>
      </c>
      <c r="L121" s="23">
        <f t="shared" si="38"/>
        <v>233</v>
      </c>
      <c r="M121" s="38">
        <f t="shared" si="33"/>
        <v>3718</v>
      </c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</row>
    <row r="122" spans="1:74" ht="15" thickBot="1">
      <c r="A122" s="12" t="str">
        <f t="shared" si="30"/>
        <v>World-Wide Re</v>
      </c>
      <c r="B122" s="23">
        <f t="shared" si="39"/>
        <v>1159</v>
      </c>
      <c r="C122" s="23">
        <f t="shared" si="39"/>
        <v>0</v>
      </c>
      <c r="D122" s="23">
        <f t="shared" si="39"/>
        <v>0</v>
      </c>
      <c r="E122" s="24">
        <f t="shared" si="31"/>
        <v>1159</v>
      </c>
      <c r="F122" s="23">
        <f t="shared" si="40"/>
        <v>498</v>
      </c>
      <c r="G122" s="23">
        <f t="shared" si="40"/>
        <v>0</v>
      </c>
      <c r="H122" s="23">
        <f t="shared" si="40"/>
        <v>0</v>
      </c>
      <c r="I122" s="24">
        <f t="shared" si="32"/>
        <v>498</v>
      </c>
      <c r="J122" s="23">
        <f t="shared" si="36"/>
        <v>1329</v>
      </c>
      <c r="K122" s="23">
        <f t="shared" si="37"/>
        <v>0</v>
      </c>
      <c r="L122" s="23">
        <f t="shared" si="38"/>
        <v>0</v>
      </c>
      <c r="M122" s="38">
        <f t="shared" si="33"/>
        <v>1329</v>
      </c>
      <c r="N122" s="9"/>
      <c r="O122" s="9"/>
      <c r="P122" s="9"/>
      <c r="Q122" s="9"/>
      <c r="R122" s="9"/>
      <c r="S122" s="9"/>
      <c r="T122" s="9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</row>
    <row r="123" spans="1:74" ht="15" thickBot="1">
      <c r="A123" s="28" t="s">
        <v>33</v>
      </c>
      <c r="B123" s="29">
        <f aca="true" t="shared" si="41" ref="B123:M123">SUM(B96:B122)</f>
        <v>1240289.3599999999</v>
      </c>
      <c r="C123" s="29">
        <f t="shared" si="41"/>
        <v>245055.79</v>
      </c>
      <c r="D123" s="29">
        <f t="shared" si="41"/>
        <v>159035.01</v>
      </c>
      <c r="E123" s="30">
        <f t="shared" si="41"/>
        <v>1644380.16</v>
      </c>
      <c r="F123" s="29">
        <f t="shared" si="41"/>
        <v>509653.007</v>
      </c>
      <c r="G123" s="29">
        <f t="shared" si="41"/>
        <v>148267</v>
      </c>
      <c r="H123" s="29">
        <f t="shared" si="41"/>
        <v>38494</v>
      </c>
      <c r="I123" s="30">
        <f t="shared" si="41"/>
        <v>696414.007</v>
      </c>
      <c r="J123" s="29">
        <f t="shared" si="41"/>
        <v>1563174.9748</v>
      </c>
      <c r="K123" s="29">
        <f t="shared" si="41"/>
        <v>326286.9562</v>
      </c>
      <c r="L123" s="29">
        <f t="shared" si="41"/>
        <v>172664</v>
      </c>
      <c r="M123" s="39">
        <f t="shared" si="41"/>
        <v>2062125.9309999999</v>
      </c>
      <c r="N123" s="9"/>
      <c r="O123" s="9"/>
      <c r="P123" s="9"/>
      <c r="Q123" s="9"/>
      <c r="R123" s="9"/>
      <c r="S123" s="9"/>
      <c r="T123" s="9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</row>
    <row r="124" spans="1:74" ht="14.25">
      <c r="A124" s="57" t="s">
        <v>80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9"/>
      <c r="O124" s="9"/>
      <c r="P124" s="9"/>
      <c r="Q124" s="9"/>
      <c r="R124" s="9"/>
      <c r="S124" s="9"/>
      <c r="T124" s="9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</row>
    <row r="125" spans="1:74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</row>
    <row r="126" spans="1:74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  <rowBreaks count="2" manualBreakCount="2">
    <brk id="41" max="255" man="1"/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0" bestFit="1" customWidth="1"/>
    <col min="10" max="10" width="11.7109375" style="0" bestFit="1" customWidth="1"/>
  </cols>
  <sheetData>
    <row r="1" spans="1:25" ht="14.25">
      <c r="A1" s="1" t="s">
        <v>0</v>
      </c>
      <c r="B1" s="1" t="str">
        <f>+'usord '!B1</f>
        <v>resurvey 1997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4.25">
      <c r="A2" s="1" t="s">
        <v>1</v>
      </c>
      <c r="B2" s="3">
        <f ca="1">TODAY()</f>
        <v>43741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thickBot="1">
      <c r="A4" s="1"/>
      <c r="B4" s="1"/>
      <c r="C4" s="4" t="s">
        <v>36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4.25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  <c r="S6" s="1"/>
      <c r="T6" s="1"/>
      <c r="U6" s="1"/>
      <c r="V6" s="1"/>
      <c r="W6" s="1"/>
      <c r="X6" s="1"/>
      <c r="Y6" s="1"/>
    </row>
    <row r="7" spans="1:25" ht="14.25">
      <c r="A7" s="8" t="s">
        <v>62</v>
      </c>
      <c r="B7" s="9"/>
      <c r="C7" s="9"/>
      <c r="D7" s="1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"/>
      <c r="S7" s="1"/>
      <c r="T7" s="1"/>
      <c r="U7" s="1"/>
      <c r="V7" s="1"/>
      <c r="W7" s="1"/>
      <c r="X7" s="1"/>
      <c r="Y7" s="1"/>
    </row>
    <row r="8" spans="1:25" ht="14.25">
      <c r="A8" s="8"/>
      <c r="B8" s="9"/>
      <c r="C8" s="9"/>
      <c r="D8" s="9" t="s">
        <v>70</v>
      </c>
      <c r="E8" s="9"/>
      <c r="F8" s="9"/>
      <c r="G8" s="9"/>
      <c r="H8" s="9"/>
      <c r="I8" s="9"/>
      <c r="J8" s="11"/>
      <c r="K8" s="9"/>
      <c r="L8" s="9"/>
      <c r="M8" s="9" t="s">
        <v>9</v>
      </c>
      <c r="N8" s="9"/>
      <c r="O8" s="9"/>
      <c r="P8" s="9"/>
      <c r="Q8" s="9"/>
      <c r="R8" s="10"/>
      <c r="S8" s="1"/>
      <c r="T8" s="1"/>
      <c r="U8" s="1"/>
      <c r="V8" s="1"/>
      <c r="W8" s="1"/>
      <c r="X8" s="1"/>
      <c r="Y8" s="1"/>
    </row>
    <row r="9" spans="1:25" ht="14.25">
      <c r="A9" s="12"/>
      <c r="B9" s="9"/>
      <c r="C9" s="9">
        <v>1996</v>
      </c>
      <c r="D9" s="9"/>
      <c r="E9" s="13"/>
      <c r="F9" s="9"/>
      <c r="G9" s="9">
        <v>1997</v>
      </c>
      <c r="H9" s="9"/>
      <c r="I9" s="13"/>
      <c r="J9" s="14" t="s">
        <v>7</v>
      </c>
      <c r="K9" s="9"/>
      <c r="L9" s="9">
        <v>1996</v>
      </c>
      <c r="M9" s="9"/>
      <c r="N9" s="13"/>
      <c r="O9" s="9"/>
      <c r="P9" s="9">
        <v>1997</v>
      </c>
      <c r="Q9" s="9"/>
      <c r="R9" s="10"/>
      <c r="S9" s="1"/>
      <c r="T9" s="1"/>
      <c r="U9" s="1"/>
      <c r="V9" s="1"/>
      <c r="W9" s="1"/>
      <c r="X9" s="1"/>
      <c r="Y9" s="1"/>
    </row>
    <row r="10" spans="1:25" ht="15" thickBot="1">
      <c r="A10" s="15" t="s">
        <v>2</v>
      </c>
      <c r="B10" s="18" t="s">
        <v>3</v>
      </c>
      <c r="C10" s="18" t="s">
        <v>4</v>
      </c>
      <c r="D10" s="18" t="s">
        <v>5</v>
      </c>
      <c r="E10" s="19" t="s">
        <v>6</v>
      </c>
      <c r="F10" s="18" t="s">
        <v>3</v>
      </c>
      <c r="G10" s="18" t="s">
        <v>4</v>
      </c>
      <c r="H10" s="18" t="s">
        <v>5</v>
      </c>
      <c r="I10" s="19" t="s">
        <v>6</v>
      </c>
      <c r="J10" s="20" t="s">
        <v>8</v>
      </c>
      <c r="K10" s="18" t="s">
        <v>3</v>
      </c>
      <c r="L10" s="18" t="s">
        <v>4</v>
      </c>
      <c r="M10" s="18" t="s">
        <v>5</v>
      </c>
      <c r="N10" s="19" t="s">
        <v>6</v>
      </c>
      <c r="O10" s="18" t="s">
        <v>3</v>
      </c>
      <c r="P10" s="18" t="s">
        <v>4</v>
      </c>
      <c r="Q10" s="18" t="s">
        <v>5</v>
      </c>
      <c r="R10" s="21" t="s">
        <v>6</v>
      </c>
      <c r="S10" s="1"/>
      <c r="T10" s="1"/>
      <c r="U10" s="1"/>
      <c r="V10" s="1"/>
      <c r="W10" s="1"/>
      <c r="X10" s="1"/>
      <c r="Y10" s="1"/>
    </row>
    <row r="11" spans="1:25" ht="15" thickTop="1">
      <c r="A11" s="12"/>
      <c r="B11" s="9"/>
      <c r="C11" s="9"/>
      <c r="D11" s="9"/>
      <c r="E11" s="13"/>
      <c r="F11" s="9"/>
      <c r="G11" s="9"/>
      <c r="H11" s="9"/>
      <c r="I11" s="13"/>
      <c r="J11" s="11"/>
      <c r="K11" s="9"/>
      <c r="L11" s="9"/>
      <c r="M11" s="9"/>
      <c r="N11" s="40"/>
      <c r="O11" s="9"/>
      <c r="P11" s="9"/>
      <c r="Q11" s="9"/>
      <c r="R11" s="41"/>
      <c r="S11" s="1"/>
      <c r="T11" s="1"/>
      <c r="U11" s="1"/>
      <c r="V11" s="1"/>
      <c r="W11" s="1"/>
      <c r="X11" s="1"/>
      <c r="Y11" s="1"/>
    </row>
    <row r="12" spans="1:25" ht="14.25">
      <c r="A12" s="12" t="s">
        <v>10</v>
      </c>
      <c r="B12" s="23">
        <v>0</v>
      </c>
      <c r="C12" s="23">
        <v>0</v>
      </c>
      <c r="D12" s="23">
        <v>1</v>
      </c>
      <c r="E12" s="24">
        <f>+D12+C12+B12</f>
        <v>1</v>
      </c>
      <c r="F12" s="23">
        <v>0</v>
      </c>
      <c r="G12" s="23">
        <v>0</v>
      </c>
      <c r="H12" s="23">
        <v>0</v>
      </c>
      <c r="I12" s="24">
        <f>+H12+G12+F12</f>
        <v>0</v>
      </c>
      <c r="J12" s="22">
        <f>IF(+E12&gt;0,(+I12-E12)/E12,0)</f>
        <v>-1</v>
      </c>
      <c r="K12" s="25">
        <f aca="true" t="shared" si="0" ref="K12:K30">+B12/$B$31</f>
        <v>0</v>
      </c>
      <c r="L12" s="25">
        <f aca="true" t="shared" si="1" ref="L12:L30">+C12/$C$31</f>
        <v>0</v>
      </c>
      <c r="M12" s="25">
        <f aca="true" t="shared" si="2" ref="M12:M30">+D12/$D$31</f>
        <v>0.0005930916682482445</v>
      </c>
      <c r="N12" s="26">
        <f aca="true" t="shared" si="3" ref="N12:N30">+E12/$E$31</f>
        <v>4.07567717376242E-05</v>
      </c>
      <c r="O12" s="25">
        <f aca="true" t="shared" si="4" ref="O12:O30">+F12/$F$31</f>
        <v>0</v>
      </c>
      <c r="P12" s="25">
        <f aca="true" t="shared" si="5" ref="P12:P30">+G12/$G$31</f>
        <v>0</v>
      </c>
      <c r="Q12" s="25">
        <f aca="true" t="shared" si="6" ref="Q12:Q30">+H12/$H$31</f>
        <v>0</v>
      </c>
      <c r="R12" s="27">
        <f aca="true" t="shared" si="7" ref="R12:R30">+I12/$I$31</f>
        <v>0</v>
      </c>
      <c r="S12" s="1"/>
      <c r="T12" s="1"/>
      <c r="U12" s="1"/>
      <c r="V12" s="1"/>
      <c r="W12" s="1"/>
      <c r="X12" s="1"/>
      <c r="Y12" s="1"/>
    </row>
    <row r="13" spans="1:25" ht="14.25">
      <c r="A13" s="12" t="s">
        <v>12</v>
      </c>
      <c r="B13" s="23">
        <v>9</v>
      </c>
      <c r="C13" s="23">
        <v>0</v>
      </c>
      <c r="D13" s="23">
        <v>0</v>
      </c>
      <c r="E13" s="24">
        <f aca="true" t="shared" si="8" ref="E13:E30">+D13+C13+B13</f>
        <v>9</v>
      </c>
      <c r="F13" s="23">
        <v>12</v>
      </c>
      <c r="G13" s="23">
        <v>0</v>
      </c>
      <c r="H13" s="23">
        <v>0</v>
      </c>
      <c r="I13" s="24">
        <f aca="true" t="shared" si="9" ref="I13:I30">+H13+G13+F13</f>
        <v>12</v>
      </c>
      <c r="J13" s="22">
        <f aca="true" t="shared" si="10" ref="J13:J31">IF(+E13&gt;0,(+I13-E13)/E13,0)</f>
        <v>0.3333333333333333</v>
      </c>
      <c r="K13" s="25">
        <f t="shared" si="0"/>
        <v>0.0005165398943848097</v>
      </c>
      <c r="L13" s="25">
        <f t="shared" si="1"/>
        <v>0</v>
      </c>
      <c r="M13" s="25">
        <f t="shared" si="2"/>
        <v>0</v>
      </c>
      <c r="N13" s="26">
        <f t="shared" si="3"/>
        <v>0.00036681094563861783</v>
      </c>
      <c r="O13" s="25">
        <f t="shared" si="4"/>
        <v>0.0005507391479283333</v>
      </c>
      <c r="P13" s="25">
        <f t="shared" si="5"/>
        <v>0</v>
      </c>
      <c r="Q13" s="25">
        <f t="shared" si="6"/>
        <v>0</v>
      </c>
      <c r="R13" s="27">
        <f t="shared" si="7"/>
        <v>0.00038534622337002306</v>
      </c>
      <c r="S13" s="1"/>
      <c r="T13" s="1"/>
      <c r="U13" s="1"/>
      <c r="V13" s="1"/>
      <c r="W13" s="1"/>
      <c r="X13" s="1"/>
      <c r="Y13" s="1"/>
    </row>
    <row r="14" spans="1:25" ht="14.25">
      <c r="A14" s="12" t="s">
        <v>78</v>
      </c>
      <c r="B14" s="23">
        <v>36</v>
      </c>
      <c r="C14" s="23">
        <v>0</v>
      </c>
      <c r="D14" s="23">
        <v>16</v>
      </c>
      <c r="E14" s="24">
        <f t="shared" si="8"/>
        <v>52</v>
      </c>
      <c r="F14" s="23">
        <v>19</v>
      </c>
      <c r="G14" s="23">
        <v>0</v>
      </c>
      <c r="H14" s="23">
        <v>8</v>
      </c>
      <c r="I14" s="24">
        <f t="shared" si="9"/>
        <v>27</v>
      </c>
      <c r="J14" s="22">
        <f t="shared" si="10"/>
        <v>-0.4807692307692308</v>
      </c>
      <c r="K14" s="25">
        <f t="shared" si="0"/>
        <v>0.002066159577539239</v>
      </c>
      <c r="L14" s="25">
        <f t="shared" si="1"/>
        <v>0</v>
      </c>
      <c r="M14" s="25">
        <f t="shared" si="2"/>
        <v>0.009489466691971912</v>
      </c>
      <c r="N14" s="26">
        <f t="shared" si="3"/>
        <v>0.0021193521303564584</v>
      </c>
      <c r="O14" s="25">
        <f t="shared" si="4"/>
        <v>0.0008720036508865277</v>
      </c>
      <c r="P14" s="25">
        <f t="shared" si="5"/>
        <v>0</v>
      </c>
      <c r="Q14" s="25">
        <f t="shared" si="6"/>
        <v>0.001696151792016171</v>
      </c>
      <c r="R14" s="27">
        <f t="shared" si="7"/>
        <v>0.0008670290025825519</v>
      </c>
      <c r="S14" s="1"/>
      <c r="T14" s="1"/>
      <c r="U14" s="1"/>
      <c r="V14" s="1"/>
      <c r="W14" s="1"/>
      <c r="X14" s="1"/>
      <c r="Y14" s="1"/>
    </row>
    <row r="15" spans="1:25" ht="14.25">
      <c r="A15" s="12" t="s">
        <v>13</v>
      </c>
      <c r="B15" s="23">
        <v>4</v>
      </c>
      <c r="C15" s="23">
        <v>0</v>
      </c>
      <c r="D15" s="23">
        <v>0</v>
      </c>
      <c r="E15" s="24">
        <f t="shared" si="8"/>
        <v>4</v>
      </c>
      <c r="F15" s="23">
        <v>34</v>
      </c>
      <c r="G15" s="23">
        <v>0</v>
      </c>
      <c r="H15" s="23">
        <v>0</v>
      </c>
      <c r="I15" s="24">
        <f t="shared" si="9"/>
        <v>34</v>
      </c>
      <c r="J15" s="22">
        <f t="shared" si="10"/>
        <v>7.5</v>
      </c>
      <c r="K15" s="25">
        <f t="shared" si="0"/>
        <v>0.00022957328639324875</v>
      </c>
      <c r="L15" s="25">
        <f t="shared" si="1"/>
        <v>0</v>
      </c>
      <c r="M15" s="25">
        <f t="shared" si="2"/>
        <v>0</v>
      </c>
      <c r="N15" s="26">
        <f t="shared" si="3"/>
        <v>0.0001630270869504968</v>
      </c>
      <c r="O15" s="25">
        <f t="shared" si="4"/>
        <v>0.0015604275857969442</v>
      </c>
      <c r="P15" s="25">
        <f t="shared" si="5"/>
        <v>0</v>
      </c>
      <c r="Q15" s="25">
        <f t="shared" si="6"/>
        <v>0</v>
      </c>
      <c r="R15" s="27">
        <f t="shared" si="7"/>
        <v>0.0010918142995483987</v>
      </c>
      <c r="S15" s="1"/>
      <c r="T15" s="1"/>
      <c r="U15" s="1"/>
      <c r="V15" s="1"/>
      <c r="W15" s="1"/>
      <c r="X15" s="1"/>
      <c r="Y15" s="1"/>
    </row>
    <row r="16" spans="1:25" ht="14.25" customHeight="1">
      <c r="A16" s="12" t="s">
        <v>14</v>
      </c>
      <c r="B16" s="23">
        <v>2</v>
      </c>
      <c r="C16" s="23">
        <v>0</v>
      </c>
      <c r="D16" s="23">
        <v>0</v>
      </c>
      <c r="E16" s="24">
        <f t="shared" si="8"/>
        <v>2</v>
      </c>
      <c r="F16" s="23">
        <v>3</v>
      </c>
      <c r="G16" s="23">
        <v>0</v>
      </c>
      <c r="H16" s="23">
        <v>0</v>
      </c>
      <c r="I16" s="24">
        <f t="shared" si="9"/>
        <v>3</v>
      </c>
      <c r="J16" s="22">
        <f t="shared" si="10"/>
        <v>0.5</v>
      </c>
      <c r="K16" s="25">
        <f t="shared" si="0"/>
        <v>0.00011478664319662437</v>
      </c>
      <c r="L16" s="25">
        <f t="shared" si="1"/>
        <v>0</v>
      </c>
      <c r="M16" s="25">
        <f t="shared" si="2"/>
        <v>0</v>
      </c>
      <c r="N16" s="26">
        <f t="shared" si="3"/>
        <v>8.15135434752484E-05</v>
      </c>
      <c r="O16" s="25">
        <f t="shared" si="4"/>
        <v>0.00013768478698208332</v>
      </c>
      <c r="P16" s="25">
        <f t="shared" si="5"/>
        <v>0</v>
      </c>
      <c r="Q16" s="25">
        <f t="shared" si="6"/>
        <v>0</v>
      </c>
      <c r="R16" s="27">
        <f t="shared" si="7"/>
        <v>9.633655584250576E-05</v>
      </c>
      <c r="S16" s="1"/>
      <c r="T16" s="1"/>
      <c r="U16" s="1"/>
      <c r="V16" s="1"/>
      <c r="W16" s="1"/>
      <c r="X16" s="1"/>
      <c r="Y16" s="1"/>
    </row>
    <row r="17" spans="1:25" ht="14.25">
      <c r="A17" s="56" t="s">
        <v>45</v>
      </c>
      <c r="B17" s="23">
        <v>0</v>
      </c>
      <c r="C17" s="23">
        <v>0</v>
      </c>
      <c r="D17" s="23">
        <v>0</v>
      </c>
      <c r="E17" s="24">
        <f t="shared" si="8"/>
        <v>0</v>
      </c>
      <c r="F17" s="23">
        <v>0</v>
      </c>
      <c r="G17" s="23">
        <v>0</v>
      </c>
      <c r="H17" s="23">
        <v>0</v>
      </c>
      <c r="I17" s="24">
        <f t="shared" si="9"/>
        <v>0</v>
      </c>
      <c r="J17" s="22">
        <f t="shared" si="10"/>
        <v>0</v>
      </c>
      <c r="K17" s="25">
        <f t="shared" si="0"/>
        <v>0</v>
      </c>
      <c r="L17" s="25">
        <f t="shared" si="1"/>
        <v>0</v>
      </c>
      <c r="M17" s="25">
        <f t="shared" si="2"/>
        <v>0</v>
      </c>
      <c r="N17" s="26">
        <f t="shared" si="3"/>
        <v>0</v>
      </c>
      <c r="O17" s="25">
        <f t="shared" si="4"/>
        <v>0</v>
      </c>
      <c r="P17" s="25">
        <f t="shared" si="5"/>
        <v>0</v>
      </c>
      <c r="Q17" s="25">
        <f t="shared" si="6"/>
        <v>0</v>
      </c>
      <c r="R17" s="27">
        <f t="shared" si="7"/>
        <v>0</v>
      </c>
      <c r="S17" s="1"/>
      <c r="T17" s="1"/>
      <c r="U17" s="1"/>
      <c r="V17" s="1"/>
      <c r="W17" s="1"/>
      <c r="X17" s="1"/>
      <c r="Y17" s="1"/>
    </row>
    <row r="18" spans="1:25" ht="14.25">
      <c r="A18" s="12" t="s">
        <v>16</v>
      </c>
      <c r="B18" s="23">
        <v>0</v>
      </c>
      <c r="C18" s="23">
        <v>0</v>
      </c>
      <c r="D18" s="23">
        <v>104</v>
      </c>
      <c r="E18" s="24">
        <f t="shared" si="8"/>
        <v>104</v>
      </c>
      <c r="F18" s="23">
        <v>0</v>
      </c>
      <c r="G18" s="23">
        <v>0</v>
      </c>
      <c r="H18" s="23">
        <v>158</v>
      </c>
      <c r="I18" s="24">
        <f t="shared" si="9"/>
        <v>158</v>
      </c>
      <c r="J18" s="22">
        <f t="shared" si="10"/>
        <v>0.5192307692307693</v>
      </c>
      <c r="K18" s="25">
        <f t="shared" si="0"/>
        <v>0</v>
      </c>
      <c r="L18" s="25">
        <f t="shared" si="1"/>
        <v>0</v>
      </c>
      <c r="M18" s="25">
        <f t="shared" si="2"/>
        <v>0.06168153349781742</v>
      </c>
      <c r="N18" s="26">
        <f t="shared" si="3"/>
        <v>0.004238704260712917</v>
      </c>
      <c r="O18" s="25">
        <f t="shared" si="4"/>
        <v>0</v>
      </c>
      <c r="P18" s="25">
        <f t="shared" si="5"/>
        <v>0</v>
      </c>
      <c r="Q18" s="25">
        <f t="shared" si="6"/>
        <v>0.03349899789231938</v>
      </c>
      <c r="R18" s="27">
        <f t="shared" si="7"/>
        <v>0.00507372527437197</v>
      </c>
      <c r="S18" s="1"/>
      <c r="T18" s="1"/>
      <c r="U18" s="1"/>
      <c r="V18" s="1"/>
      <c r="W18" s="1"/>
      <c r="X18" s="1"/>
      <c r="Y18" s="1"/>
    </row>
    <row r="19" spans="1:25" ht="14.25">
      <c r="A19" s="12" t="s">
        <v>17</v>
      </c>
      <c r="B19" s="23">
        <v>9</v>
      </c>
      <c r="C19" s="23">
        <v>0</v>
      </c>
      <c r="D19" s="23">
        <v>147</v>
      </c>
      <c r="E19" s="24">
        <f t="shared" si="8"/>
        <v>156</v>
      </c>
      <c r="F19" s="23">
        <v>30</v>
      </c>
      <c r="G19" s="23">
        <v>0</v>
      </c>
      <c r="H19" s="23">
        <v>121</v>
      </c>
      <c r="I19" s="24">
        <f t="shared" si="9"/>
        <v>151</v>
      </c>
      <c r="J19" s="22">
        <f t="shared" si="10"/>
        <v>-0.03205128205128205</v>
      </c>
      <c r="K19" s="25">
        <f t="shared" si="0"/>
        <v>0.0005165398943848097</v>
      </c>
      <c r="L19" s="25">
        <f t="shared" si="1"/>
        <v>0</v>
      </c>
      <c r="M19" s="25">
        <f t="shared" si="2"/>
        <v>0.08718447523249194</v>
      </c>
      <c r="N19" s="26">
        <f t="shared" si="3"/>
        <v>0.006358056391069376</v>
      </c>
      <c r="O19" s="25">
        <f t="shared" si="4"/>
        <v>0.0013768478698208333</v>
      </c>
      <c r="P19" s="25">
        <f t="shared" si="5"/>
        <v>0</v>
      </c>
      <c r="Q19" s="25">
        <f t="shared" si="6"/>
        <v>0.025654295854244585</v>
      </c>
      <c r="R19" s="27">
        <f t="shared" si="7"/>
        <v>0.004848939977406123</v>
      </c>
      <c r="S19" s="1"/>
      <c r="T19" s="1"/>
      <c r="U19" s="1"/>
      <c r="V19" s="1"/>
      <c r="W19" s="1"/>
      <c r="X19" s="1"/>
      <c r="Y19" s="1"/>
    </row>
    <row r="20" spans="1:25" ht="14.25">
      <c r="A20" s="12" t="s">
        <v>19</v>
      </c>
      <c r="B20" s="23">
        <v>0</v>
      </c>
      <c r="C20" s="23">
        <v>0</v>
      </c>
      <c r="D20" s="23">
        <v>0</v>
      </c>
      <c r="E20" s="24">
        <f t="shared" si="8"/>
        <v>0</v>
      </c>
      <c r="F20" s="23">
        <f>13*0.6966</f>
        <v>9.0558</v>
      </c>
      <c r="G20" s="23">
        <v>0</v>
      </c>
      <c r="H20" s="23">
        <v>0</v>
      </c>
      <c r="I20" s="24">
        <f t="shared" si="9"/>
        <v>9.0558</v>
      </c>
      <c r="J20" s="22">
        <f t="shared" si="10"/>
        <v>0</v>
      </c>
      <c r="K20" s="25">
        <f t="shared" si="0"/>
        <v>0</v>
      </c>
      <c r="L20" s="25">
        <f t="shared" si="1"/>
        <v>0</v>
      </c>
      <c r="M20" s="25">
        <f t="shared" si="2"/>
        <v>0</v>
      </c>
      <c r="N20" s="26">
        <f t="shared" si="3"/>
        <v>0</v>
      </c>
      <c r="O20" s="25">
        <f t="shared" si="4"/>
        <v>0.0004156152979841167</v>
      </c>
      <c r="P20" s="25">
        <f t="shared" si="5"/>
        <v>0</v>
      </c>
      <c r="Q20" s="25">
        <f t="shared" si="6"/>
        <v>0</v>
      </c>
      <c r="R20" s="27">
        <f t="shared" si="7"/>
        <v>0.0002908015274661879</v>
      </c>
      <c r="S20" s="1"/>
      <c r="T20" s="1"/>
      <c r="U20" s="1"/>
      <c r="V20" s="1"/>
      <c r="W20" s="1"/>
      <c r="X20" s="1"/>
      <c r="Y20" s="1"/>
    </row>
    <row r="21" spans="1:25" ht="14.25">
      <c r="A21" s="12" t="s">
        <v>52</v>
      </c>
      <c r="B21" s="23">
        <v>408</v>
      </c>
      <c r="C21" s="23">
        <v>0</v>
      </c>
      <c r="D21" s="23"/>
      <c r="E21" s="24">
        <f t="shared" si="8"/>
        <v>408</v>
      </c>
      <c r="F21" s="23">
        <v>1306</v>
      </c>
      <c r="G21" s="23">
        <v>0</v>
      </c>
      <c r="H21" s="23">
        <v>0</v>
      </c>
      <c r="I21" s="24">
        <f t="shared" si="9"/>
        <v>1306</v>
      </c>
      <c r="J21" s="22">
        <f t="shared" si="10"/>
        <v>2.200980392156863</v>
      </c>
      <c r="K21" s="25">
        <f t="shared" si="0"/>
        <v>0.023416475212111373</v>
      </c>
      <c r="L21" s="25">
        <f t="shared" si="1"/>
        <v>0</v>
      </c>
      <c r="M21" s="25">
        <f t="shared" si="2"/>
        <v>0</v>
      </c>
      <c r="N21" s="26">
        <f t="shared" si="3"/>
        <v>0.016628762868950674</v>
      </c>
      <c r="O21" s="25">
        <f t="shared" si="4"/>
        <v>0.05993877726620027</v>
      </c>
      <c r="P21" s="25">
        <f t="shared" si="5"/>
        <v>0</v>
      </c>
      <c r="Q21" s="25">
        <f t="shared" si="6"/>
        <v>0</v>
      </c>
      <c r="R21" s="27">
        <f t="shared" si="7"/>
        <v>0.04193851397677084</v>
      </c>
      <c r="S21" s="1"/>
      <c r="T21" s="1"/>
      <c r="U21" s="1"/>
      <c r="V21" s="1"/>
      <c r="W21" s="1"/>
      <c r="X21" s="1"/>
      <c r="Y21" s="1"/>
    </row>
    <row r="22" spans="1:25" ht="14.25">
      <c r="A22" s="12" t="s">
        <v>20</v>
      </c>
      <c r="B22" s="23">
        <v>0</v>
      </c>
      <c r="C22" s="23">
        <f>3154*0.73</f>
        <v>2302.42</v>
      </c>
      <c r="D22" s="23">
        <f>1218*0.73</f>
        <v>889.14</v>
      </c>
      <c r="E22" s="24">
        <f t="shared" si="8"/>
        <v>3191.56</v>
      </c>
      <c r="F22" s="23">
        <v>0</v>
      </c>
      <c r="G22" s="23">
        <v>19</v>
      </c>
      <c r="H22" s="23">
        <v>779</v>
      </c>
      <c r="I22" s="24">
        <f t="shared" si="9"/>
        <v>798</v>
      </c>
      <c r="J22" s="22">
        <f t="shared" si="10"/>
        <v>-0.7499655340961787</v>
      </c>
      <c r="K22" s="25">
        <f t="shared" si="0"/>
        <v>0</v>
      </c>
      <c r="L22" s="25">
        <f t="shared" si="1"/>
        <v>0.42432396071572714</v>
      </c>
      <c r="M22" s="25">
        <f t="shared" si="2"/>
        <v>0.5273415259062441</v>
      </c>
      <c r="N22" s="26">
        <f t="shared" si="3"/>
        <v>0.1300776824069319</v>
      </c>
      <c r="O22" s="25">
        <f t="shared" si="4"/>
        <v>0</v>
      </c>
      <c r="P22" s="25">
        <f t="shared" si="5"/>
        <v>0.004098919261688856</v>
      </c>
      <c r="Q22" s="25">
        <f t="shared" si="6"/>
        <v>0.16516278074757465</v>
      </c>
      <c r="R22" s="27">
        <f t="shared" si="7"/>
        <v>0.025625523854106533</v>
      </c>
      <c r="S22" s="1"/>
      <c r="T22" s="1"/>
      <c r="U22" s="1"/>
      <c r="V22" s="1"/>
      <c r="W22" s="1"/>
      <c r="X22" s="1"/>
      <c r="Y22" s="1"/>
    </row>
    <row r="23" spans="1:25" ht="14.25">
      <c r="A23" s="12" t="s">
        <v>53</v>
      </c>
      <c r="B23" s="23">
        <f>6121*0.73</f>
        <v>4468.33</v>
      </c>
      <c r="C23" s="23">
        <f>1268*0.73</f>
        <v>925.64</v>
      </c>
      <c r="D23" s="23">
        <v>0</v>
      </c>
      <c r="E23" s="24">
        <f t="shared" si="8"/>
        <v>5393.97</v>
      </c>
      <c r="F23" s="23">
        <f>10125*0.6966</f>
        <v>7053.075</v>
      </c>
      <c r="G23" s="23">
        <f>2429*0.6966</f>
        <v>1692.0414</v>
      </c>
      <c r="H23" s="23">
        <v>0</v>
      </c>
      <c r="I23" s="24">
        <f t="shared" si="9"/>
        <v>8745.116399999999</v>
      </c>
      <c r="J23" s="22">
        <f t="shared" si="10"/>
        <v>0.6212764253416312</v>
      </c>
      <c r="K23" s="25">
        <f t="shared" si="0"/>
        <v>0.2564523006973863</v>
      </c>
      <c r="L23" s="25">
        <f t="shared" si="1"/>
        <v>0.17059060944436968</v>
      </c>
      <c r="M23" s="25">
        <f t="shared" si="2"/>
        <v>0</v>
      </c>
      <c r="N23" s="26">
        <f t="shared" si="3"/>
        <v>0.21984080404959283</v>
      </c>
      <c r="O23" s="25">
        <f t="shared" si="4"/>
        <v>0.32370037631455245</v>
      </c>
      <c r="P23" s="25">
        <f t="shared" si="5"/>
        <v>0.3650284782123673</v>
      </c>
      <c r="Q23" s="25">
        <f t="shared" si="6"/>
        <v>0</v>
      </c>
      <c r="R23" s="27">
        <f t="shared" si="7"/>
        <v>0.28082479813927097</v>
      </c>
      <c r="S23" s="1"/>
      <c r="T23" s="1"/>
      <c r="U23" s="1"/>
      <c r="V23" s="1"/>
      <c r="W23" s="1"/>
      <c r="X23" s="1"/>
      <c r="Y23" s="1"/>
    </row>
    <row r="24" spans="1:25" ht="14.25">
      <c r="A24" s="12" t="s">
        <v>22</v>
      </c>
      <c r="B24" s="23">
        <v>0</v>
      </c>
      <c r="C24" s="23">
        <v>0</v>
      </c>
      <c r="D24" s="23">
        <f>55*0.73</f>
        <v>40.15</v>
      </c>
      <c r="E24" s="24">
        <f t="shared" si="8"/>
        <v>40.15</v>
      </c>
      <c r="F24" s="23">
        <v>0</v>
      </c>
      <c r="G24" s="23">
        <v>0</v>
      </c>
      <c r="H24" s="23">
        <f>43*0.6966</f>
        <v>29.9538</v>
      </c>
      <c r="I24" s="24">
        <f t="shared" si="9"/>
        <v>29.9538</v>
      </c>
      <c r="J24" s="22">
        <f t="shared" si="10"/>
        <v>-0.2539526774595267</v>
      </c>
      <c r="K24" s="25">
        <f t="shared" si="0"/>
        <v>0</v>
      </c>
      <c r="L24" s="25">
        <f t="shared" si="1"/>
        <v>0</v>
      </c>
      <c r="M24" s="25">
        <f t="shared" si="2"/>
        <v>0.023812630480167015</v>
      </c>
      <c r="N24" s="26">
        <f t="shared" si="3"/>
        <v>0.0016363843852656116</v>
      </c>
      <c r="O24" s="25">
        <f t="shared" si="4"/>
        <v>0</v>
      </c>
      <c r="P24" s="25">
        <f t="shared" si="5"/>
        <v>0</v>
      </c>
      <c r="Q24" s="25">
        <f t="shared" si="6"/>
        <v>0.0063507739434617485</v>
      </c>
      <c r="R24" s="27">
        <f t="shared" si="7"/>
        <v>0.0009618819754650831</v>
      </c>
      <c r="S24" s="1"/>
      <c r="T24" s="1"/>
      <c r="U24" s="1"/>
      <c r="V24" s="1"/>
      <c r="W24" s="1"/>
      <c r="X24" s="1"/>
      <c r="Y24" s="1"/>
    </row>
    <row r="25" spans="1:25" ht="14.25">
      <c r="A25" s="12" t="s">
        <v>23</v>
      </c>
      <c r="B25" s="23">
        <f>1325*0.73</f>
        <v>967.25</v>
      </c>
      <c r="C25" s="23">
        <f>78*0.73</f>
        <v>56.94</v>
      </c>
      <c r="D25" s="23">
        <v>0</v>
      </c>
      <c r="E25" s="24">
        <f t="shared" si="8"/>
        <v>1024.19</v>
      </c>
      <c r="F25" s="23">
        <f>1027*0.6966</f>
        <v>715.4082</v>
      </c>
      <c r="G25" s="23">
        <f>754*0.6966</f>
        <v>525.2364</v>
      </c>
      <c r="H25" s="23">
        <v>0</v>
      </c>
      <c r="I25" s="24">
        <f t="shared" si="9"/>
        <v>1240.6446</v>
      </c>
      <c r="J25" s="22">
        <f t="shared" si="10"/>
        <v>0.21134223142190414</v>
      </c>
      <c r="K25" s="25">
        <f t="shared" si="0"/>
        <v>0.055513690315967465</v>
      </c>
      <c r="L25" s="25">
        <f t="shared" si="1"/>
        <v>0.010493744114085832</v>
      </c>
      <c r="M25" s="25">
        <f t="shared" si="2"/>
        <v>0</v>
      </c>
      <c r="N25" s="26">
        <f t="shared" si="3"/>
        <v>0.041742678045957333</v>
      </c>
      <c r="O25" s="25">
        <f t="shared" si="4"/>
        <v>0.03283360854074522</v>
      </c>
      <c r="P25" s="25">
        <f t="shared" si="5"/>
        <v>0.11331061036316382</v>
      </c>
      <c r="Q25" s="25">
        <f t="shared" si="6"/>
        <v>0</v>
      </c>
      <c r="R25" s="27">
        <f t="shared" si="7"/>
        <v>0.039839809262867745</v>
      </c>
      <c r="S25" s="1"/>
      <c r="T25" s="1"/>
      <c r="U25" s="1"/>
      <c r="V25" s="1"/>
      <c r="W25" s="1"/>
      <c r="X25" s="1"/>
      <c r="Y25" s="1"/>
    </row>
    <row r="26" spans="1:25" ht="14.25">
      <c r="A26" s="12" t="s">
        <v>56</v>
      </c>
      <c r="B26" s="23">
        <f>6351*0.73</f>
        <v>4636.23</v>
      </c>
      <c r="C26" s="23">
        <f>2933*0.73</f>
        <v>2141.09</v>
      </c>
      <c r="D26" s="23">
        <f>32*0.73</f>
        <v>23.36</v>
      </c>
      <c r="E26" s="24">
        <f t="shared" si="8"/>
        <v>6800.68</v>
      </c>
      <c r="F26" s="23">
        <f>7332*0.6966</f>
        <v>5107.4712</v>
      </c>
      <c r="G26" s="23">
        <f>3444*0.6966</f>
        <v>2399.0904</v>
      </c>
      <c r="H26" s="23">
        <f>24*0.6966</f>
        <v>16.7184</v>
      </c>
      <c r="I26" s="24">
        <f t="shared" si="9"/>
        <v>7523.280000000001</v>
      </c>
      <c r="J26" s="22">
        <f t="shared" si="10"/>
        <v>0.10625408047430555</v>
      </c>
      <c r="K26" s="25">
        <f t="shared" si="0"/>
        <v>0.2660886393937429</v>
      </c>
      <c r="L26" s="25">
        <f t="shared" si="1"/>
        <v>0.3945916857258173</v>
      </c>
      <c r="M26" s="25">
        <f t="shared" si="2"/>
        <v>0.01385462137027899</v>
      </c>
      <c r="N26" s="26">
        <f t="shared" si="3"/>
        <v>0.2771737624206262</v>
      </c>
      <c r="O26" s="25">
        <f t="shared" si="4"/>
        <v>0.2344070280630418</v>
      </c>
      <c r="P26" s="25">
        <f t="shared" si="5"/>
        <v>0.5175619921627801</v>
      </c>
      <c r="Q26" s="25">
        <f t="shared" si="6"/>
        <v>0.003544618014955394</v>
      </c>
      <c r="R26" s="27">
        <f t="shared" si="7"/>
        <v>0.24158896127960228</v>
      </c>
      <c r="S26" s="1"/>
      <c r="T26" s="1"/>
      <c r="U26" s="1"/>
      <c r="V26" s="1"/>
      <c r="W26" s="1"/>
      <c r="X26" s="1"/>
      <c r="Y26" s="1"/>
    </row>
    <row r="27" spans="1:25" ht="14.25">
      <c r="A27" s="12" t="s">
        <v>27</v>
      </c>
      <c r="B27" s="23">
        <v>102</v>
      </c>
      <c r="C27" s="23">
        <v>0</v>
      </c>
      <c r="D27" s="23">
        <v>34</v>
      </c>
      <c r="E27" s="24">
        <f t="shared" si="8"/>
        <v>136</v>
      </c>
      <c r="F27" s="23">
        <v>40</v>
      </c>
      <c r="G27" s="23">
        <v>0</v>
      </c>
      <c r="H27" s="23">
        <v>3048</v>
      </c>
      <c r="I27" s="24">
        <f t="shared" si="9"/>
        <v>3088</v>
      </c>
      <c r="J27" s="22">
        <f t="shared" si="10"/>
        <v>21.705882352941178</v>
      </c>
      <c r="K27" s="25">
        <f t="shared" si="0"/>
        <v>0.005854118803027843</v>
      </c>
      <c r="L27" s="25">
        <f t="shared" si="1"/>
        <v>0</v>
      </c>
      <c r="M27" s="25">
        <f t="shared" si="2"/>
        <v>0.020165116720440312</v>
      </c>
      <c r="N27" s="26">
        <f t="shared" si="3"/>
        <v>0.005542920956316892</v>
      </c>
      <c r="O27" s="25">
        <f t="shared" si="4"/>
        <v>0.001835797159761111</v>
      </c>
      <c r="P27" s="25">
        <f t="shared" si="5"/>
        <v>0</v>
      </c>
      <c r="Q27" s="25">
        <f t="shared" si="6"/>
        <v>0.6462338327581612</v>
      </c>
      <c r="R27" s="27">
        <f t="shared" si="7"/>
        <v>0.09916242814721926</v>
      </c>
      <c r="S27" s="1"/>
      <c r="T27" s="1"/>
      <c r="U27" s="1"/>
      <c r="V27" s="1"/>
      <c r="W27" s="1"/>
      <c r="X27" s="1"/>
      <c r="Y27" s="1"/>
    </row>
    <row r="28" spans="1:25" ht="14.25">
      <c r="A28" s="12" t="s">
        <v>29</v>
      </c>
      <c r="B28" s="23">
        <v>0</v>
      </c>
      <c r="C28" s="23">
        <v>0</v>
      </c>
      <c r="D28" s="23">
        <f>591*0.73</f>
        <v>431.43</v>
      </c>
      <c r="E28" s="24">
        <f t="shared" si="8"/>
        <v>431.43</v>
      </c>
      <c r="F28" s="23">
        <v>0</v>
      </c>
      <c r="G28" s="23">
        <v>0</v>
      </c>
      <c r="H28" s="23">
        <f>798*0.6966</f>
        <v>555.8868</v>
      </c>
      <c r="I28" s="24">
        <f t="shared" si="9"/>
        <v>555.8868</v>
      </c>
      <c r="J28" s="22">
        <f t="shared" si="10"/>
        <v>0.28847507127459837</v>
      </c>
      <c r="K28" s="25">
        <f t="shared" si="0"/>
        <v>0</v>
      </c>
      <c r="L28" s="25">
        <f t="shared" si="1"/>
        <v>0</v>
      </c>
      <c r="M28" s="25">
        <f t="shared" si="2"/>
        <v>0.2558775384323401</v>
      </c>
      <c r="N28" s="26">
        <f t="shared" si="3"/>
        <v>0.01758369403076321</v>
      </c>
      <c r="O28" s="25">
        <f t="shared" si="4"/>
        <v>0</v>
      </c>
      <c r="P28" s="25">
        <f t="shared" si="5"/>
        <v>0</v>
      </c>
      <c r="Q28" s="25">
        <f t="shared" si="6"/>
        <v>0.11785854899726686</v>
      </c>
      <c r="R28" s="27">
        <f t="shared" si="7"/>
        <v>0.01785073991677061</v>
      </c>
      <c r="S28" s="1"/>
      <c r="T28" s="1"/>
      <c r="U28" s="1"/>
      <c r="V28" s="1"/>
      <c r="W28" s="1"/>
      <c r="X28" s="1"/>
      <c r="Y28" s="1"/>
    </row>
    <row r="29" spans="1:25" ht="14.25">
      <c r="A29" s="12" t="s">
        <v>57</v>
      </c>
      <c r="B29" s="23">
        <f>4234*0.73+3689</f>
        <v>6779.82</v>
      </c>
      <c r="C29" s="23">
        <v>0</v>
      </c>
      <c r="D29" s="23">
        <v>0</v>
      </c>
      <c r="E29" s="24">
        <f t="shared" si="8"/>
        <v>6779.82</v>
      </c>
      <c r="F29" s="23">
        <f>10709*0.6966</f>
        <v>7459.8894</v>
      </c>
      <c r="G29" s="23">
        <v>0</v>
      </c>
      <c r="H29" s="23">
        <v>0</v>
      </c>
      <c r="I29" s="24">
        <f t="shared" si="9"/>
        <v>7459.8894</v>
      </c>
      <c r="J29" s="22">
        <f t="shared" si="10"/>
        <v>0.10030788428011368</v>
      </c>
      <c r="K29" s="25">
        <f t="shared" si="0"/>
        <v>0.3891163896386689</v>
      </c>
      <c r="L29" s="25">
        <f t="shared" si="1"/>
        <v>0</v>
      </c>
      <c r="M29" s="25">
        <f t="shared" si="2"/>
        <v>0</v>
      </c>
      <c r="N29" s="26">
        <f t="shared" si="3"/>
        <v>0.2763235761621793</v>
      </c>
      <c r="O29" s="25">
        <f t="shared" si="4"/>
        <v>0.3423710943163005</v>
      </c>
      <c r="P29" s="25">
        <f t="shared" si="5"/>
        <v>0</v>
      </c>
      <c r="Q29" s="25">
        <f t="shared" si="6"/>
        <v>0</v>
      </c>
      <c r="R29" s="27">
        <f t="shared" si="7"/>
        <v>0.23955335058733895</v>
      </c>
      <c r="S29" s="1"/>
      <c r="T29" s="1"/>
      <c r="U29" s="1"/>
      <c r="V29" s="1"/>
      <c r="W29" s="1"/>
      <c r="X29" s="1"/>
      <c r="Y29" s="1"/>
    </row>
    <row r="30" spans="1:25" ht="15" thickBot="1">
      <c r="A30" s="12" t="s">
        <v>30</v>
      </c>
      <c r="B30" s="23">
        <v>2</v>
      </c>
      <c r="C30" s="23">
        <v>0</v>
      </c>
      <c r="D30" s="23">
        <v>0</v>
      </c>
      <c r="E30" s="24">
        <f t="shared" si="8"/>
        <v>2</v>
      </c>
      <c r="F30" s="23">
        <v>0</v>
      </c>
      <c r="G30" s="23">
        <v>0</v>
      </c>
      <c r="H30" s="23">
        <v>0</v>
      </c>
      <c r="I30" s="24">
        <f t="shared" si="9"/>
        <v>0</v>
      </c>
      <c r="J30" s="22">
        <f t="shared" si="10"/>
        <v>-1</v>
      </c>
      <c r="K30" s="25">
        <f t="shared" si="0"/>
        <v>0.00011478664319662437</v>
      </c>
      <c r="L30" s="25">
        <f t="shared" si="1"/>
        <v>0</v>
      </c>
      <c r="M30" s="25">
        <f t="shared" si="2"/>
        <v>0</v>
      </c>
      <c r="N30" s="26">
        <f t="shared" si="3"/>
        <v>8.15135434752484E-05</v>
      </c>
      <c r="O30" s="25">
        <f t="shared" si="4"/>
        <v>0</v>
      </c>
      <c r="P30" s="25">
        <f t="shared" si="5"/>
        <v>0</v>
      </c>
      <c r="Q30" s="25">
        <f t="shared" si="6"/>
        <v>0</v>
      </c>
      <c r="R30" s="27">
        <f t="shared" si="7"/>
        <v>0</v>
      </c>
      <c r="S30" s="1"/>
      <c r="T30" s="1"/>
      <c r="U30" s="1"/>
      <c r="V30" s="1"/>
      <c r="W30" s="1"/>
      <c r="X30" s="1"/>
      <c r="Y30" s="1"/>
    </row>
    <row r="31" spans="1:25" ht="16.5" customHeight="1" thickBot="1">
      <c r="A31" s="28" t="s">
        <v>33</v>
      </c>
      <c r="B31" s="29">
        <f aca="true" t="shared" si="11" ref="B31:I31">SUM(B12:B30)</f>
        <v>17423.629999999997</v>
      </c>
      <c r="C31" s="29">
        <f t="shared" si="11"/>
        <v>5426.09</v>
      </c>
      <c r="D31" s="29">
        <f t="shared" si="11"/>
        <v>1686.08</v>
      </c>
      <c r="E31" s="30">
        <f t="shared" si="11"/>
        <v>24535.800000000003</v>
      </c>
      <c r="F31" s="29">
        <f t="shared" si="11"/>
        <v>21788.899599999997</v>
      </c>
      <c r="G31" s="29">
        <f t="shared" si="11"/>
        <v>4635.3682</v>
      </c>
      <c r="H31" s="29">
        <f t="shared" si="11"/>
        <v>4716.559</v>
      </c>
      <c r="I31" s="30">
        <f t="shared" si="11"/>
        <v>31140.8268</v>
      </c>
      <c r="J31" s="31">
        <f t="shared" si="10"/>
        <v>0.26919956960849023</v>
      </c>
      <c r="K31" s="32">
        <f aca="true" t="shared" si="12" ref="K31:R31">SUM(K12:K30)</f>
        <v>1</v>
      </c>
      <c r="L31" s="32">
        <f t="shared" si="12"/>
        <v>1</v>
      </c>
      <c r="M31" s="32">
        <f t="shared" si="12"/>
        <v>1</v>
      </c>
      <c r="N31" s="33">
        <f t="shared" si="12"/>
        <v>1</v>
      </c>
      <c r="O31" s="32">
        <f t="shared" si="12"/>
        <v>1.0000000000000002</v>
      </c>
      <c r="P31" s="32">
        <f t="shared" si="12"/>
        <v>1</v>
      </c>
      <c r="Q31" s="32">
        <f t="shared" si="12"/>
        <v>1</v>
      </c>
      <c r="R31" s="34">
        <f t="shared" si="12"/>
        <v>1</v>
      </c>
      <c r="S31" s="1"/>
      <c r="T31" s="1"/>
      <c r="U31" s="1"/>
      <c r="V31" s="1"/>
      <c r="W31" s="1"/>
      <c r="X31" s="1"/>
      <c r="Y31" s="1"/>
    </row>
    <row r="32" spans="1:25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>
      <c r="A35" s="1" t="s">
        <v>1</v>
      </c>
      <c r="B35" s="3">
        <f>+B2</f>
        <v>43741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>
      <c r="A38" s="1"/>
      <c r="B38" s="1"/>
      <c r="C38" s="4" t="s">
        <v>51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7"/>
      <c r="S40" s="1"/>
      <c r="T40" s="1"/>
      <c r="U40" s="1"/>
      <c r="V40" s="1"/>
      <c r="W40" s="1"/>
      <c r="X40" s="1"/>
      <c r="Y40" s="1"/>
    </row>
    <row r="41" spans="1:25" ht="14.25">
      <c r="A41" s="8" t="str">
        <f>+A7</f>
        <v>Canadian Exchange Rate Used: 1996 = .7300 and 1997 = .6966 </v>
      </c>
      <c r="B41" s="9"/>
      <c r="C41" s="9"/>
      <c r="D41" s="1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10"/>
      <c r="S41" s="1"/>
      <c r="T41" s="1"/>
      <c r="U41" s="1"/>
      <c r="V41" s="1"/>
      <c r="W41" s="1"/>
      <c r="X41" s="1"/>
      <c r="Y41" s="1"/>
    </row>
    <row r="42" spans="1:25" ht="14.25">
      <c r="A42" s="8"/>
      <c r="B42" s="9"/>
      <c r="C42" s="9"/>
      <c r="D42" s="9" t="s">
        <v>71</v>
      </c>
      <c r="E42" s="9"/>
      <c r="F42" s="9"/>
      <c r="G42" s="9"/>
      <c r="H42" s="9"/>
      <c r="I42" s="9"/>
      <c r="J42" s="11"/>
      <c r="K42" s="9"/>
      <c r="L42" s="9"/>
      <c r="M42" s="9" t="s">
        <v>9</v>
      </c>
      <c r="N42" s="9"/>
      <c r="O42" s="9"/>
      <c r="P42" s="9"/>
      <c r="Q42" s="9"/>
      <c r="R42" s="10"/>
      <c r="S42" s="1"/>
      <c r="T42" s="1"/>
      <c r="U42" s="1"/>
      <c r="V42" s="1"/>
      <c r="W42" s="1"/>
      <c r="X42" s="1"/>
      <c r="Y42" s="1"/>
    </row>
    <row r="43" spans="1:25" ht="14.25">
      <c r="A43" s="12"/>
      <c r="B43" s="9"/>
      <c r="C43" s="9">
        <v>1996</v>
      </c>
      <c r="D43" s="9"/>
      <c r="E43" s="13"/>
      <c r="F43" s="9"/>
      <c r="G43" s="9">
        <v>1997</v>
      </c>
      <c r="H43" s="9"/>
      <c r="I43" s="13"/>
      <c r="J43" s="14" t="s">
        <v>7</v>
      </c>
      <c r="K43" s="9"/>
      <c r="L43" s="9">
        <v>1996</v>
      </c>
      <c r="M43" s="44"/>
      <c r="N43" s="13"/>
      <c r="O43" s="9"/>
      <c r="P43" s="9">
        <v>1997</v>
      </c>
      <c r="Q43" s="9"/>
      <c r="R43" s="10"/>
      <c r="S43" s="1"/>
      <c r="T43" s="1"/>
      <c r="U43" s="1"/>
      <c r="V43" s="1"/>
      <c r="W43" s="1"/>
      <c r="X43" s="1"/>
      <c r="Y43" s="1"/>
    </row>
    <row r="44" spans="1:25" ht="15" thickBot="1">
      <c r="A44" s="15" t="s">
        <v>2</v>
      </c>
      <c r="B44" s="18" t="s">
        <v>3</v>
      </c>
      <c r="C44" s="18" t="s">
        <v>4</v>
      </c>
      <c r="D44" s="18" t="s">
        <v>5</v>
      </c>
      <c r="E44" s="19" t="s">
        <v>6</v>
      </c>
      <c r="F44" s="18" t="s">
        <v>3</v>
      </c>
      <c r="G44" s="18" t="s">
        <v>4</v>
      </c>
      <c r="H44" s="18" t="s">
        <v>5</v>
      </c>
      <c r="I44" s="19" t="s">
        <v>6</v>
      </c>
      <c r="J44" s="20" t="s">
        <v>8</v>
      </c>
      <c r="K44" s="18" t="s">
        <v>3</v>
      </c>
      <c r="L44" s="18" t="s">
        <v>4</v>
      </c>
      <c r="M44" s="18" t="s">
        <v>5</v>
      </c>
      <c r="N44" s="19" t="s">
        <v>6</v>
      </c>
      <c r="O44" s="18" t="s">
        <v>3</v>
      </c>
      <c r="P44" s="18" t="s">
        <v>4</v>
      </c>
      <c r="Q44" s="18" t="s">
        <v>5</v>
      </c>
      <c r="R44" s="21" t="s">
        <v>6</v>
      </c>
      <c r="S44" s="1"/>
      <c r="T44" s="1"/>
      <c r="U44" s="1"/>
      <c r="V44" s="1"/>
      <c r="W44" s="1"/>
      <c r="X44" s="1"/>
      <c r="Y44" s="1"/>
    </row>
    <row r="45" spans="1:25" ht="15" thickTop="1">
      <c r="A45" s="12"/>
      <c r="B45" s="9"/>
      <c r="C45" s="9"/>
      <c r="D45" s="9"/>
      <c r="E45" s="13"/>
      <c r="F45" s="9"/>
      <c r="G45" s="9"/>
      <c r="H45" s="9"/>
      <c r="I45" s="13"/>
      <c r="J45" s="11"/>
      <c r="K45" s="9"/>
      <c r="L45" s="9"/>
      <c r="M45" s="9"/>
      <c r="N45" s="13"/>
      <c r="O45" s="9"/>
      <c r="P45" s="9"/>
      <c r="Q45" s="9"/>
      <c r="R45" s="10"/>
      <c r="S45" s="1"/>
      <c r="T45" s="1"/>
      <c r="U45" s="1"/>
      <c r="V45" s="1"/>
      <c r="W45" s="1"/>
      <c r="X45" s="1"/>
      <c r="Y45" s="1"/>
    </row>
    <row r="46" spans="1:25" ht="14.25">
      <c r="A46" s="12" t="s">
        <v>10</v>
      </c>
      <c r="B46" s="23">
        <v>35</v>
      </c>
      <c r="C46" s="23">
        <v>0</v>
      </c>
      <c r="D46" s="23">
        <v>28</v>
      </c>
      <c r="E46" s="24">
        <f aca="true" t="shared" si="13" ref="E46:E64">+D46+C46+B46</f>
        <v>63</v>
      </c>
      <c r="F46" s="23">
        <v>0</v>
      </c>
      <c r="G46" s="23">
        <v>0</v>
      </c>
      <c r="H46" s="23">
        <v>0</v>
      </c>
      <c r="I46" s="24">
        <f aca="true" t="shared" si="14" ref="I46:I64">+H46+G46+F46</f>
        <v>0</v>
      </c>
      <c r="J46" s="22">
        <f aca="true" t="shared" si="15" ref="J46:J65">IF(+E46&gt;0,(+I46-E46)/E46,0)</f>
        <v>-1</v>
      </c>
      <c r="K46" s="25">
        <f aca="true" t="shared" si="16" ref="K46:K64">+B46/$B$65</f>
        <v>0.00033346868986249467</v>
      </c>
      <c r="L46" s="25">
        <f aca="true" t="shared" si="17" ref="L46:L64">+C46/$C$65</f>
        <v>0</v>
      </c>
      <c r="M46" s="25">
        <f aca="true" t="shared" si="18" ref="M46:M64">+D46/$D$65</f>
        <v>0.0023424513251163485</v>
      </c>
      <c r="N46" s="26">
        <f aca="true" t="shared" si="19" ref="N46:N64">+E46/$E$65</f>
        <v>0.0004950118131033398</v>
      </c>
      <c r="O46" s="25">
        <f aca="true" t="shared" si="20" ref="O46:O64">+F46/$F$65</f>
        <v>0</v>
      </c>
      <c r="P46" s="25">
        <f aca="true" t="shared" si="21" ref="P46:P64">+G46/$G$65</f>
        <v>0</v>
      </c>
      <c r="Q46" s="25">
        <f aca="true" t="shared" si="22" ref="Q46:Q64">+H46/$H$65</f>
        <v>0</v>
      </c>
      <c r="R46" s="27">
        <f aca="true" t="shared" si="23" ref="R46:R64">+I46/$I$65</f>
        <v>0</v>
      </c>
      <c r="S46" s="1"/>
      <c r="T46" s="1"/>
      <c r="U46" s="1"/>
      <c r="V46" s="1"/>
      <c r="W46" s="1"/>
      <c r="X46" s="1"/>
      <c r="Y46" s="1"/>
    </row>
    <row r="47" spans="1:25" ht="14.25">
      <c r="A47" s="12" t="s">
        <v>12</v>
      </c>
      <c r="B47" s="23">
        <v>42</v>
      </c>
      <c r="C47" s="23">
        <v>0</v>
      </c>
      <c r="D47" s="23">
        <v>0</v>
      </c>
      <c r="E47" s="24">
        <f t="shared" si="13"/>
        <v>42</v>
      </c>
      <c r="F47" s="23">
        <v>179</v>
      </c>
      <c r="G47" s="23">
        <v>0</v>
      </c>
      <c r="H47" s="23">
        <v>0</v>
      </c>
      <c r="I47" s="24">
        <f t="shared" si="14"/>
        <v>179</v>
      </c>
      <c r="J47" s="22">
        <f t="shared" si="15"/>
        <v>3.261904761904762</v>
      </c>
      <c r="K47" s="25">
        <f t="shared" si="16"/>
        <v>0.0004001624278349936</v>
      </c>
      <c r="L47" s="25">
        <f t="shared" si="17"/>
        <v>0</v>
      </c>
      <c r="M47" s="25">
        <f t="shared" si="18"/>
        <v>0</v>
      </c>
      <c r="N47" s="26">
        <f t="shared" si="19"/>
        <v>0.0003300078754022265</v>
      </c>
      <c r="O47" s="25">
        <f t="shared" si="20"/>
        <v>0.0016283420032144234</v>
      </c>
      <c r="P47" s="25">
        <f t="shared" si="21"/>
        <v>0</v>
      </c>
      <c r="Q47" s="25">
        <f t="shared" si="22"/>
        <v>0</v>
      </c>
      <c r="R47" s="27">
        <f t="shared" si="23"/>
        <v>0.0013064346372577672</v>
      </c>
      <c r="S47" s="1"/>
      <c r="T47" s="1"/>
      <c r="U47" s="1"/>
      <c r="V47" s="1"/>
      <c r="W47" s="1"/>
      <c r="X47" s="1"/>
      <c r="Y47" s="1"/>
    </row>
    <row r="48" spans="1:25" ht="14.25">
      <c r="A48" s="12" t="s">
        <v>78</v>
      </c>
      <c r="B48" s="23">
        <v>294</v>
      </c>
      <c r="C48" s="23">
        <v>0</v>
      </c>
      <c r="D48" s="23">
        <v>292</v>
      </c>
      <c r="E48" s="24">
        <f t="shared" si="13"/>
        <v>586</v>
      </c>
      <c r="F48" s="23">
        <v>288</v>
      </c>
      <c r="G48" s="23">
        <v>0</v>
      </c>
      <c r="H48" s="23">
        <v>104</v>
      </c>
      <c r="I48" s="24">
        <f t="shared" si="14"/>
        <v>392</v>
      </c>
      <c r="J48" s="22">
        <f t="shared" si="15"/>
        <v>-0.3310580204778157</v>
      </c>
      <c r="K48" s="25">
        <f t="shared" si="16"/>
        <v>0.002801136994844955</v>
      </c>
      <c r="L48" s="25">
        <f t="shared" si="17"/>
        <v>0</v>
      </c>
      <c r="M48" s="25">
        <f t="shared" si="18"/>
        <v>0.024428420961927634</v>
      </c>
      <c r="N48" s="26">
        <f t="shared" si="19"/>
        <v>0.004604395594897732</v>
      </c>
      <c r="O48" s="25">
        <f t="shared" si="20"/>
        <v>0.0026199022174623124</v>
      </c>
      <c r="P48" s="25">
        <f t="shared" si="21"/>
        <v>0</v>
      </c>
      <c r="Q48" s="25">
        <f t="shared" si="22"/>
        <v>0.006847619488951886</v>
      </c>
      <c r="R48" s="27">
        <f t="shared" si="23"/>
        <v>0.0028610188704192444</v>
      </c>
      <c r="S48" s="1"/>
      <c r="T48" s="1"/>
      <c r="U48" s="1"/>
      <c r="V48" s="1"/>
      <c r="W48" s="1"/>
      <c r="X48" s="1"/>
      <c r="Y48" s="1"/>
    </row>
    <row r="49" spans="1:25" ht="14.25">
      <c r="A49" s="12" t="s">
        <v>13</v>
      </c>
      <c r="B49" s="23">
        <v>31</v>
      </c>
      <c r="C49" s="23">
        <v>0</v>
      </c>
      <c r="D49" s="23">
        <v>0</v>
      </c>
      <c r="E49" s="24">
        <f t="shared" si="13"/>
        <v>31</v>
      </c>
      <c r="F49" s="23">
        <v>160</v>
      </c>
      <c r="G49" s="23">
        <v>0</v>
      </c>
      <c r="H49" s="23">
        <v>0</v>
      </c>
      <c r="I49" s="24">
        <f t="shared" si="14"/>
        <v>160</v>
      </c>
      <c r="J49" s="22">
        <f t="shared" si="15"/>
        <v>4.161290322580645</v>
      </c>
      <c r="K49" s="25">
        <f t="shared" si="16"/>
        <v>0.00029535798244963813</v>
      </c>
      <c r="L49" s="25">
        <f t="shared" si="17"/>
        <v>0</v>
      </c>
      <c r="M49" s="25">
        <f t="shared" si="18"/>
        <v>0</v>
      </c>
      <c r="N49" s="26">
        <f t="shared" si="19"/>
        <v>0.00024357724136831005</v>
      </c>
      <c r="O49" s="25">
        <f t="shared" si="20"/>
        <v>0.001455501231923507</v>
      </c>
      <c r="P49" s="25">
        <f t="shared" si="21"/>
        <v>0</v>
      </c>
      <c r="Q49" s="25">
        <f t="shared" si="22"/>
        <v>0</v>
      </c>
      <c r="R49" s="27">
        <f t="shared" si="23"/>
        <v>0.0011677628042527529</v>
      </c>
      <c r="S49" s="1"/>
      <c r="T49" s="1"/>
      <c r="U49" s="1"/>
      <c r="V49" s="1"/>
      <c r="W49" s="1"/>
      <c r="X49" s="1"/>
      <c r="Y49" s="1"/>
    </row>
    <row r="50" spans="1:25" ht="14.25">
      <c r="A50" s="12" t="s">
        <v>14</v>
      </c>
      <c r="B50" s="23">
        <v>181</v>
      </c>
      <c r="C50" s="23">
        <v>0</v>
      </c>
      <c r="D50" s="23">
        <v>0</v>
      </c>
      <c r="E50" s="24">
        <f t="shared" si="13"/>
        <v>181</v>
      </c>
      <c r="F50" s="23">
        <v>189</v>
      </c>
      <c r="G50" s="23">
        <v>0</v>
      </c>
      <c r="H50" s="23">
        <v>0</v>
      </c>
      <c r="I50" s="24">
        <f t="shared" si="14"/>
        <v>189</v>
      </c>
      <c r="J50" s="22">
        <f t="shared" si="15"/>
        <v>0.04419889502762431</v>
      </c>
      <c r="K50" s="25">
        <f t="shared" si="16"/>
        <v>0.001724509510431758</v>
      </c>
      <c r="L50" s="25">
        <f t="shared" si="17"/>
        <v>0</v>
      </c>
      <c r="M50" s="25">
        <f t="shared" si="18"/>
        <v>0</v>
      </c>
      <c r="N50" s="26">
        <f t="shared" si="19"/>
        <v>0.0014221767963762618</v>
      </c>
      <c r="O50" s="25">
        <f t="shared" si="20"/>
        <v>0.0017193108302096425</v>
      </c>
      <c r="P50" s="25">
        <f t="shared" si="21"/>
        <v>0</v>
      </c>
      <c r="Q50" s="25">
        <f t="shared" si="22"/>
        <v>0</v>
      </c>
      <c r="R50" s="27">
        <f t="shared" si="23"/>
        <v>0.0013794198125235643</v>
      </c>
      <c r="S50" s="1"/>
      <c r="T50" s="1"/>
      <c r="U50" s="1"/>
      <c r="V50" s="1"/>
      <c r="W50" s="1"/>
      <c r="X50" s="1"/>
      <c r="Y50" s="1"/>
    </row>
    <row r="51" spans="1:25" ht="14.25">
      <c r="A51" s="56" t="s">
        <v>45</v>
      </c>
      <c r="B51" s="23">
        <v>0</v>
      </c>
      <c r="C51" s="23">
        <v>0</v>
      </c>
      <c r="D51" s="23">
        <v>62</v>
      </c>
      <c r="E51" s="24">
        <f t="shared" si="13"/>
        <v>62</v>
      </c>
      <c r="F51" s="23">
        <v>0</v>
      </c>
      <c r="G51" s="23">
        <v>0</v>
      </c>
      <c r="H51" s="23">
        <v>0</v>
      </c>
      <c r="I51" s="24">
        <f t="shared" si="14"/>
        <v>0</v>
      </c>
      <c r="J51" s="22">
        <f t="shared" si="15"/>
        <v>-1</v>
      </c>
      <c r="K51" s="25">
        <f t="shared" si="16"/>
        <v>0</v>
      </c>
      <c r="L51" s="25">
        <f t="shared" si="17"/>
        <v>0</v>
      </c>
      <c r="M51" s="25">
        <f t="shared" si="18"/>
        <v>0.0051868565056147715</v>
      </c>
      <c r="N51" s="26">
        <f t="shared" si="19"/>
        <v>0.0004871544827366201</v>
      </c>
      <c r="O51" s="25">
        <f t="shared" si="20"/>
        <v>0</v>
      </c>
      <c r="P51" s="25">
        <f t="shared" si="21"/>
        <v>0</v>
      </c>
      <c r="Q51" s="25">
        <f t="shared" si="22"/>
        <v>0</v>
      </c>
      <c r="R51" s="27">
        <f t="shared" si="23"/>
        <v>0</v>
      </c>
      <c r="S51" s="1"/>
      <c r="T51" s="1"/>
      <c r="U51" s="1"/>
      <c r="V51" s="1"/>
      <c r="W51" s="1"/>
      <c r="X51" s="1"/>
      <c r="Y51" s="1"/>
    </row>
    <row r="52" spans="1:25" ht="14.25">
      <c r="A52" s="12" t="s">
        <v>16</v>
      </c>
      <c r="B52" s="23">
        <v>0</v>
      </c>
      <c r="C52" s="23">
        <v>0</v>
      </c>
      <c r="D52" s="23">
        <v>535</v>
      </c>
      <c r="E52" s="24">
        <f t="shared" si="13"/>
        <v>535</v>
      </c>
      <c r="F52" s="23">
        <v>0</v>
      </c>
      <c r="G52" s="23">
        <v>0</v>
      </c>
      <c r="H52" s="23">
        <v>718</v>
      </c>
      <c r="I52" s="24">
        <f t="shared" si="14"/>
        <v>718</v>
      </c>
      <c r="J52" s="22">
        <f t="shared" si="15"/>
        <v>0.34205607476635513</v>
      </c>
      <c r="K52" s="25">
        <f t="shared" si="16"/>
        <v>0</v>
      </c>
      <c r="L52" s="25">
        <f t="shared" si="17"/>
        <v>0</v>
      </c>
      <c r="M52" s="25">
        <f t="shared" si="18"/>
        <v>0.04475755210490166</v>
      </c>
      <c r="N52" s="26">
        <f t="shared" si="19"/>
        <v>0.0042036717461950285</v>
      </c>
      <c r="O52" s="25">
        <f t="shared" si="20"/>
        <v>0</v>
      </c>
      <c r="P52" s="25">
        <f t="shared" si="21"/>
        <v>0</v>
      </c>
      <c r="Q52" s="25">
        <f t="shared" si="22"/>
        <v>0.04727491147180245</v>
      </c>
      <c r="R52" s="27">
        <f t="shared" si="23"/>
        <v>0.0052403355840842285</v>
      </c>
      <c r="S52" s="1"/>
      <c r="T52" s="1"/>
      <c r="U52" s="1"/>
      <c r="V52" s="1"/>
      <c r="W52" s="1"/>
      <c r="X52" s="1"/>
      <c r="Y52" s="1"/>
    </row>
    <row r="53" spans="1:25" ht="14.25">
      <c r="A53" s="12" t="s">
        <v>17</v>
      </c>
      <c r="B53" s="23">
        <v>102</v>
      </c>
      <c r="C53" s="23">
        <v>0</v>
      </c>
      <c r="D53" s="23">
        <v>565</v>
      </c>
      <c r="E53" s="24">
        <f t="shared" si="13"/>
        <v>667</v>
      </c>
      <c r="F53" s="23">
        <v>84</v>
      </c>
      <c r="G53" s="23">
        <v>0</v>
      </c>
      <c r="H53" s="23">
        <v>665</v>
      </c>
      <c r="I53" s="24">
        <f t="shared" si="14"/>
        <v>749</v>
      </c>
      <c r="J53" s="22">
        <f t="shared" si="15"/>
        <v>0.12293853073463268</v>
      </c>
      <c r="K53" s="25">
        <f t="shared" si="16"/>
        <v>0.0009718230390278415</v>
      </c>
      <c r="L53" s="25">
        <f t="shared" si="17"/>
        <v>0</v>
      </c>
      <c r="M53" s="25">
        <f t="shared" si="18"/>
        <v>0.047267321381812034</v>
      </c>
      <c r="N53" s="26">
        <f t="shared" si="19"/>
        <v>0.005240839354602026</v>
      </c>
      <c r="O53" s="25">
        <f t="shared" si="20"/>
        <v>0.0007641381467598411</v>
      </c>
      <c r="P53" s="25">
        <f t="shared" si="21"/>
        <v>0</v>
      </c>
      <c r="Q53" s="25">
        <f t="shared" si="22"/>
        <v>0.04378525923224043</v>
      </c>
      <c r="R53" s="27">
        <f t="shared" si="23"/>
        <v>0.005466589627408199</v>
      </c>
      <c r="S53" s="1"/>
      <c r="T53" s="1"/>
      <c r="U53" s="1"/>
      <c r="V53" s="1"/>
      <c r="W53" s="1"/>
      <c r="X53" s="1"/>
      <c r="Y53" s="1"/>
    </row>
    <row r="54" spans="1:25" ht="14.25">
      <c r="A54" s="12" t="s">
        <v>46</v>
      </c>
      <c r="B54" s="23">
        <f>0.73*853</f>
        <v>622.6899999999999</v>
      </c>
      <c r="C54" s="23">
        <v>0</v>
      </c>
      <c r="D54" s="23">
        <f>214*0.73</f>
        <v>156.22</v>
      </c>
      <c r="E54" s="24">
        <f t="shared" si="13"/>
        <v>778.91</v>
      </c>
      <c r="F54" s="23">
        <f>819*0.6966</f>
        <v>570.5154</v>
      </c>
      <c r="G54" s="23">
        <v>0</v>
      </c>
      <c r="H54" s="23">
        <f>208*0.6966</f>
        <v>144.8928</v>
      </c>
      <c r="I54" s="24">
        <f t="shared" si="14"/>
        <v>715.4082</v>
      </c>
      <c r="J54" s="22">
        <f t="shared" si="15"/>
        <v>-0.08152649214928555</v>
      </c>
      <c r="K54" s="25">
        <f t="shared" si="16"/>
        <v>0.005932789099727908</v>
      </c>
      <c r="L54" s="25">
        <f t="shared" si="17"/>
        <v>0</v>
      </c>
      <c r="M54" s="25">
        <f t="shared" si="18"/>
        <v>0.013069205214631285</v>
      </c>
      <c r="N54" s="26">
        <f t="shared" si="19"/>
        <v>0.006120153195941625</v>
      </c>
      <c r="O54" s="25">
        <f t="shared" si="20"/>
        <v>0.005189911672070827</v>
      </c>
      <c r="P54" s="25">
        <f t="shared" si="21"/>
        <v>0</v>
      </c>
      <c r="Q54" s="25">
        <f t="shared" si="22"/>
        <v>0.009540103472007767</v>
      </c>
      <c r="R54" s="27">
        <f t="shared" si="23"/>
        <v>0.005221419286358839</v>
      </c>
      <c r="S54" s="1"/>
      <c r="T54" s="1"/>
      <c r="U54" s="1"/>
      <c r="V54" s="1"/>
      <c r="W54" s="1"/>
      <c r="X54" s="1"/>
      <c r="Y54" s="1"/>
    </row>
    <row r="55" spans="1:25" ht="14.25">
      <c r="A55" s="12" t="str">
        <f>+A21</f>
        <v>Lincoln Re</v>
      </c>
      <c r="B55" s="23">
        <v>4947</v>
      </c>
      <c r="C55" s="23">
        <v>0</v>
      </c>
      <c r="D55" s="23">
        <v>0</v>
      </c>
      <c r="E55" s="24">
        <f t="shared" si="13"/>
        <v>4947</v>
      </c>
      <c r="F55" s="23">
        <v>5321</v>
      </c>
      <c r="G55" s="23">
        <v>0</v>
      </c>
      <c r="H55" s="23">
        <v>0</v>
      </c>
      <c r="I55" s="24">
        <f t="shared" si="14"/>
        <v>5321</v>
      </c>
      <c r="J55" s="22">
        <f t="shared" si="15"/>
        <v>0.07560137457044673</v>
      </c>
      <c r="K55" s="25">
        <f t="shared" si="16"/>
        <v>0.04713341739285031</v>
      </c>
      <c r="L55" s="25">
        <f t="shared" si="17"/>
        <v>0</v>
      </c>
      <c r="M55" s="25">
        <f t="shared" si="18"/>
        <v>0</v>
      </c>
      <c r="N55" s="26">
        <f t="shared" si="19"/>
        <v>0.03887021332416225</v>
      </c>
      <c r="O55" s="25">
        <f t="shared" si="20"/>
        <v>0.048404512844156124</v>
      </c>
      <c r="P55" s="25">
        <f t="shared" si="21"/>
        <v>0</v>
      </c>
      <c r="Q55" s="25">
        <f t="shared" si="22"/>
        <v>0</v>
      </c>
      <c r="R55" s="27">
        <f t="shared" si="23"/>
        <v>0.03883541175893061</v>
      </c>
      <c r="S55" s="1"/>
      <c r="T55" s="1"/>
      <c r="U55" s="1"/>
      <c r="V55" s="1"/>
      <c r="W55" s="1"/>
      <c r="X55" s="1"/>
      <c r="Y55" s="1"/>
    </row>
    <row r="56" spans="1:25" ht="14.25">
      <c r="A56" s="12" t="s">
        <v>20</v>
      </c>
      <c r="B56" s="23">
        <v>0</v>
      </c>
      <c r="C56" s="23">
        <f>4785*0.73</f>
        <v>3493.0499999999997</v>
      </c>
      <c r="D56" s="23">
        <f>6855*0.73</f>
        <v>5004.15</v>
      </c>
      <c r="E56" s="24">
        <f t="shared" si="13"/>
        <v>8497.199999999999</v>
      </c>
      <c r="F56" s="23">
        <v>0</v>
      </c>
      <c r="G56" s="23">
        <v>3150</v>
      </c>
      <c r="H56" s="23">
        <v>5333</v>
      </c>
      <c r="I56" s="24">
        <f t="shared" si="14"/>
        <v>8483</v>
      </c>
      <c r="J56" s="22">
        <f t="shared" si="15"/>
        <v>-0.0016711387280514652</v>
      </c>
      <c r="K56" s="25">
        <f t="shared" si="16"/>
        <v>0</v>
      </c>
      <c r="L56" s="25">
        <f t="shared" si="17"/>
        <v>0.33719888560887035</v>
      </c>
      <c r="M56" s="25">
        <f t="shared" si="18"/>
        <v>0.4186420642350348</v>
      </c>
      <c r="N56" s="26">
        <f t="shared" si="19"/>
        <v>0.06676530759209044</v>
      </c>
      <c r="O56" s="25">
        <f t="shared" si="20"/>
        <v>0</v>
      </c>
      <c r="P56" s="25">
        <f t="shared" si="21"/>
        <v>0.26473704123529024</v>
      </c>
      <c r="Q56" s="25">
        <f t="shared" si="22"/>
        <v>0.3511380262940424</v>
      </c>
      <c r="R56" s="27">
        <f t="shared" si="23"/>
        <v>0.06191332417797564</v>
      </c>
      <c r="S56" s="1"/>
      <c r="T56" s="1"/>
      <c r="U56" s="1"/>
      <c r="V56" s="1"/>
      <c r="W56" s="1"/>
      <c r="X56" s="1"/>
      <c r="Y56" s="1"/>
    </row>
    <row r="57" spans="1:25" ht="14.25">
      <c r="A57" s="12" t="str">
        <f>+A23</f>
        <v>Munich Re (Canada)</v>
      </c>
      <c r="B57" s="23">
        <v>34103</v>
      </c>
      <c r="C57" s="23">
        <v>885</v>
      </c>
      <c r="D57" s="23">
        <v>0</v>
      </c>
      <c r="E57" s="24">
        <f t="shared" si="13"/>
        <v>34988</v>
      </c>
      <c r="F57" s="23">
        <f>49912*0.6966</f>
        <v>34768.6992</v>
      </c>
      <c r="G57" s="23">
        <f>2419*0.6966</f>
        <v>1685.0754</v>
      </c>
      <c r="H57" s="23">
        <v>0</v>
      </c>
      <c r="I57" s="24">
        <f t="shared" si="14"/>
        <v>36453.774600000004</v>
      </c>
      <c r="J57" s="22">
        <f t="shared" si="15"/>
        <v>0.041893637818680815</v>
      </c>
      <c r="K57" s="25">
        <f t="shared" si="16"/>
        <v>0.3249223637251616</v>
      </c>
      <c r="L57" s="25">
        <f t="shared" si="17"/>
        <v>0.08543279190502577</v>
      </c>
      <c r="M57" s="25">
        <f t="shared" si="18"/>
        <v>0</v>
      </c>
      <c r="N57" s="26">
        <f t="shared" si="19"/>
        <v>0.2749122748707881</v>
      </c>
      <c r="O57" s="25">
        <f t="shared" si="20"/>
        <v>0.31628677823736157</v>
      </c>
      <c r="P57" s="25">
        <f t="shared" si="21"/>
        <v>0.14161964306488037</v>
      </c>
      <c r="Q57" s="25">
        <f t="shared" si="22"/>
        <v>0</v>
      </c>
      <c r="R57" s="27">
        <f t="shared" si="23"/>
        <v>0.2660585128280861</v>
      </c>
      <c r="S57" s="1"/>
      <c r="T57" s="1"/>
      <c r="U57" s="1"/>
      <c r="V57" s="1"/>
      <c r="W57" s="1"/>
      <c r="X57" s="1"/>
      <c r="Y57" s="1"/>
    </row>
    <row r="58" spans="1:25" ht="14.25">
      <c r="A58" s="12" t="s">
        <v>22</v>
      </c>
      <c r="B58" s="23">
        <v>0</v>
      </c>
      <c r="C58" s="23">
        <v>0</v>
      </c>
      <c r="D58" s="23">
        <f>251*0.73</f>
        <v>183.23</v>
      </c>
      <c r="E58" s="24">
        <f t="shared" si="13"/>
        <v>183.23</v>
      </c>
      <c r="F58" s="23">
        <v>0</v>
      </c>
      <c r="G58" s="23">
        <v>0</v>
      </c>
      <c r="H58" s="23">
        <f>275*0.6966</f>
        <v>191.565</v>
      </c>
      <c r="I58" s="24">
        <f t="shared" si="14"/>
        <v>191.565</v>
      </c>
      <c r="J58" s="22">
        <f t="shared" si="15"/>
        <v>0.0454892757736179</v>
      </c>
      <c r="K58" s="25">
        <f t="shared" si="16"/>
        <v>0</v>
      </c>
      <c r="L58" s="25">
        <f t="shared" si="17"/>
        <v>0</v>
      </c>
      <c r="M58" s="25">
        <f t="shared" si="18"/>
        <v>0.01532883415360959</v>
      </c>
      <c r="N58" s="26">
        <f t="shared" si="19"/>
        <v>0.0014396986430940467</v>
      </c>
      <c r="O58" s="25">
        <f t="shared" si="20"/>
        <v>0</v>
      </c>
      <c r="P58" s="25">
        <f t="shared" si="21"/>
        <v>0</v>
      </c>
      <c r="Q58" s="25">
        <f t="shared" si="22"/>
        <v>0.012613117571164116</v>
      </c>
      <c r="R58" s="27">
        <f t="shared" si="23"/>
        <v>0.0013981405099792413</v>
      </c>
      <c r="S58" s="1"/>
      <c r="T58" s="1"/>
      <c r="U58" s="1"/>
      <c r="V58" s="1"/>
      <c r="W58" s="1"/>
      <c r="X58" s="1"/>
      <c r="Y58" s="1"/>
    </row>
    <row r="59" spans="1:25" ht="14.25">
      <c r="A59" s="12" t="s">
        <v>23</v>
      </c>
      <c r="B59" s="23">
        <f>6659*0.73</f>
        <v>4861.07</v>
      </c>
      <c r="C59" s="23">
        <f>1028*0.73</f>
        <v>750.4399999999999</v>
      </c>
      <c r="D59" s="23">
        <v>0</v>
      </c>
      <c r="E59" s="24">
        <f t="shared" si="13"/>
        <v>5611.509999999999</v>
      </c>
      <c r="F59" s="23">
        <f>6976*0.6966</f>
        <v>4859.4816</v>
      </c>
      <c r="G59" s="23">
        <f>2023*0.6966</f>
        <v>1409.2218</v>
      </c>
      <c r="H59" s="23">
        <v>0</v>
      </c>
      <c r="I59" s="24">
        <f t="shared" si="14"/>
        <v>6268.7034</v>
      </c>
      <c r="J59" s="22">
        <f t="shared" si="15"/>
        <v>0.11711525061881758</v>
      </c>
      <c r="K59" s="25">
        <f t="shared" si="16"/>
        <v>0.046314704120853624</v>
      </c>
      <c r="L59" s="25">
        <f t="shared" si="17"/>
        <v>0.07244314616633621</v>
      </c>
      <c r="M59" s="25">
        <f t="shared" si="18"/>
        <v>0</v>
      </c>
      <c r="N59" s="26">
        <f t="shared" si="19"/>
        <v>0.04409148792615114</v>
      </c>
      <c r="O59" s="25">
        <f t="shared" si="20"/>
        <v>0.04420613409568509</v>
      </c>
      <c r="P59" s="25">
        <f t="shared" si="21"/>
        <v>0.11843593961151427</v>
      </c>
      <c r="Q59" s="25">
        <f t="shared" si="22"/>
        <v>0</v>
      </c>
      <c r="R59" s="27">
        <f t="shared" si="23"/>
        <v>0.04575224163382979</v>
      </c>
      <c r="S59" s="1"/>
      <c r="T59" s="1"/>
      <c r="U59" s="1"/>
      <c r="V59" s="1"/>
      <c r="W59" s="1"/>
      <c r="X59" s="1"/>
      <c r="Y59" s="1"/>
    </row>
    <row r="60" spans="1:25" ht="14.25">
      <c r="A60" s="12" t="s">
        <v>56</v>
      </c>
      <c r="B60" s="23">
        <f>23430*0.73</f>
        <v>17103.899999999998</v>
      </c>
      <c r="C60" s="23">
        <f>3797*0.73</f>
        <v>2771.81</v>
      </c>
      <c r="D60" s="23">
        <f>3379*0.73</f>
        <v>2466.67</v>
      </c>
      <c r="E60" s="24">
        <f t="shared" si="13"/>
        <v>22342.379999999997</v>
      </c>
      <c r="F60" s="23">
        <f>0.6966*28574</f>
        <v>19904.6484</v>
      </c>
      <c r="G60" s="23">
        <f>7222*0.6966</f>
        <v>5030.8452</v>
      </c>
      <c r="H60" s="23">
        <f>3232*0.6966</f>
        <v>2251.4112</v>
      </c>
      <c r="I60" s="24">
        <f t="shared" si="14"/>
        <v>27186.904799999997</v>
      </c>
      <c r="J60" s="22">
        <f t="shared" si="15"/>
        <v>0.21683118808291685</v>
      </c>
      <c r="K60" s="25">
        <f t="shared" si="16"/>
        <v>0.1629604321296892</v>
      </c>
      <c r="L60" s="25">
        <f t="shared" si="17"/>
        <v>0.2675745389042593</v>
      </c>
      <c r="M60" s="25">
        <f t="shared" si="18"/>
        <v>0.2063590860758837</v>
      </c>
      <c r="N60" s="26">
        <f t="shared" si="19"/>
        <v>0.1755514608387904</v>
      </c>
      <c r="O60" s="25">
        <f t="shared" si="20"/>
        <v>0.1810702516700266</v>
      </c>
      <c r="P60" s="25">
        <f t="shared" si="21"/>
        <v>0.42280986449547997</v>
      </c>
      <c r="Q60" s="25">
        <f t="shared" si="22"/>
        <v>0.14823853087273609</v>
      </c>
      <c r="R60" s="27">
        <f t="shared" si="23"/>
        <v>0.1984241011762539</v>
      </c>
      <c r="S60" s="1"/>
      <c r="T60" s="1"/>
      <c r="U60" s="1"/>
      <c r="V60" s="1"/>
      <c r="W60" s="1"/>
      <c r="X60" s="1"/>
      <c r="Y60" s="1"/>
    </row>
    <row r="61" spans="1:25" ht="14.25">
      <c r="A61" s="12" t="s">
        <v>27</v>
      </c>
      <c r="B61" s="23">
        <v>834</v>
      </c>
      <c r="C61" s="23">
        <v>2047</v>
      </c>
      <c r="D61" s="23">
        <v>344</v>
      </c>
      <c r="E61" s="24">
        <f t="shared" si="13"/>
        <v>3225</v>
      </c>
      <c r="F61" s="23">
        <v>343</v>
      </c>
      <c r="G61" s="23">
        <v>0</v>
      </c>
      <c r="H61" s="23">
        <v>3176</v>
      </c>
      <c r="I61" s="24">
        <f t="shared" si="14"/>
        <v>3519</v>
      </c>
      <c r="J61" s="22">
        <f t="shared" si="15"/>
        <v>0.09116279069767441</v>
      </c>
      <c r="K61" s="25">
        <f t="shared" si="16"/>
        <v>0.007946082495580587</v>
      </c>
      <c r="L61" s="25">
        <f t="shared" si="17"/>
        <v>0.19760556500518392</v>
      </c>
      <c r="M61" s="25">
        <f t="shared" si="18"/>
        <v>0.02877868770857228</v>
      </c>
      <c r="N61" s="26">
        <f t="shared" si="19"/>
        <v>0.025339890432670965</v>
      </c>
      <c r="O61" s="25">
        <f t="shared" si="20"/>
        <v>0.003120230765936018</v>
      </c>
      <c r="P61" s="25">
        <f t="shared" si="21"/>
        <v>0</v>
      </c>
      <c r="Q61" s="25">
        <f t="shared" si="22"/>
        <v>0.20911576439337684</v>
      </c>
      <c r="R61" s="27">
        <f t="shared" si="23"/>
        <v>0.025683483176033983</v>
      </c>
      <c r="S61" s="1"/>
      <c r="T61" s="1"/>
      <c r="U61" s="1"/>
      <c r="V61" s="1"/>
      <c r="W61" s="1"/>
      <c r="X61" s="1"/>
      <c r="Y61" s="1"/>
    </row>
    <row r="62" spans="1:25" ht="14.25">
      <c r="A62" s="12" t="s">
        <v>29</v>
      </c>
      <c r="B62" s="23">
        <v>0</v>
      </c>
      <c r="C62" s="23">
        <v>0</v>
      </c>
      <c r="D62" s="23">
        <f>3174*0.73</f>
        <v>2317.02</v>
      </c>
      <c r="E62" s="24">
        <f t="shared" si="13"/>
        <v>2317.02</v>
      </c>
      <c r="F62" s="23">
        <v>0</v>
      </c>
      <c r="G62" s="23">
        <v>0</v>
      </c>
      <c r="H62" s="23">
        <f>3738*0.6966</f>
        <v>2603.8908</v>
      </c>
      <c r="I62" s="24">
        <f t="shared" si="14"/>
        <v>2603.8908</v>
      </c>
      <c r="J62" s="22">
        <f t="shared" si="15"/>
        <v>0.12381023901390585</v>
      </c>
      <c r="K62" s="25">
        <f t="shared" si="16"/>
        <v>0</v>
      </c>
      <c r="L62" s="25">
        <f t="shared" si="17"/>
        <v>0</v>
      </c>
      <c r="M62" s="25">
        <f t="shared" si="18"/>
        <v>0.19383952033289578</v>
      </c>
      <c r="N62" s="26">
        <f t="shared" si="19"/>
        <v>0.01820559160629683</v>
      </c>
      <c r="O62" s="25">
        <f t="shared" si="20"/>
        <v>0</v>
      </c>
      <c r="P62" s="25">
        <f t="shared" si="21"/>
        <v>0</v>
      </c>
      <c r="Q62" s="25">
        <f t="shared" si="22"/>
        <v>0.17144666720367807</v>
      </c>
      <c r="R62" s="27">
        <f t="shared" si="23"/>
        <v>0.019004542641099652</v>
      </c>
      <c r="S62" s="1"/>
      <c r="T62" s="1"/>
      <c r="U62" s="1"/>
      <c r="V62" s="1"/>
      <c r="W62" s="1"/>
      <c r="X62" s="1"/>
      <c r="Y62" s="1"/>
    </row>
    <row r="63" spans="1:25" ht="14.25">
      <c r="A63" s="12" t="s">
        <v>57</v>
      </c>
      <c r="B63" s="23">
        <f>24364*0.73+23553</f>
        <v>41338.72</v>
      </c>
      <c r="C63" s="23">
        <f>564*0.73</f>
        <v>411.71999999999997</v>
      </c>
      <c r="D63" s="23">
        <v>0</v>
      </c>
      <c r="E63" s="24">
        <f t="shared" si="13"/>
        <v>41750.44</v>
      </c>
      <c r="F63" s="23">
        <f>61317*0.6966</f>
        <v>42713.4222</v>
      </c>
      <c r="G63" s="23">
        <f>895*0.6966</f>
        <v>623.457</v>
      </c>
      <c r="H63" s="23">
        <v>0</v>
      </c>
      <c r="I63" s="24">
        <f t="shared" si="14"/>
        <v>43336.8792</v>
      </c>
      <c r="J63" s="22">
        <f t="shared" si="15"/>
        <v>0.03799814325310106</v>
      </c>
      <c r="K63" s="25">
        <f t="shared" si="16"/>
        <v>0.39386196568550014</v>
      </c>
      <c r="L63" s="25">
        <f t="shared" si="17"/>
        <v>0.03974507241032453</v>
      </c>
      <c r="M63" s="25">
        <f t="shared" si="18"/>
        <v>0</v>
      </c>
      <c r="N63" s="26">
        <f t="shared" si="19"/>
        <v>0.328047000035908</v>
      </c>
      <c r="O63" s="25">
        <f t="shared" si="20"/>
        <v>0.38855899144855544</v>
      </c>
      <c r="P63" s="25">
        <f t="shared" si="21"/>
        <v>0.05239751159283503</v>
      </c>
      <c r="Q63" s="25">
        <f t="shared" si="22"/>
        <v>0</v>
      </c>
      <c r="R63" s="27">
        <f t="shared" si="23"/>
        <v>0.3162949723884675</v>
      </c>
      <c r="S63" s="1"/>
      <c r="T63" s="1"/>
      <c r="U63" s="1"/>
      <c r="V63" s="1"/>
      <c r="W63" s="1"/>
      <c r="X63" s="1"/>
      <c r="Y63" s="1"/>
    </row>
    <row r="64" spans="1:25" ht="15" thickBot="1">
      <c r="A64" s="12" t="s">
        <v>30</v>
      </c>
      <c r="B64" s="23">
        <v>462</v>
      </c>
      <c r="C64" s="23">
        <v>0</v>
      </c>
      <c r="D64" s="23">
        <v>0</v>
      </c>
      <c r="E64" s="24">
        <f t="shared" si="13"/>
        <v>462</v>
      </c>
      <c r="F64" s="23">
        <v>547</v>
      </c>
      <c r="G64" s="23">
        <v>0</v>
      </c>
      <c r="H64" s="23">
        <v>0</v>
      </c>
      <c r="I64" s="24">
        <f t="shared" si="14"/>
        <v>547</v>
      </c>
      <c r="J64" s="22">
        <f t="shared" si="15"/>
        <v>0.18398268398268397</v>
      </c>
      <c r="K64" s="25">
        <f t="shared" si="16"/>
        <v>0.0044017867061849295</v>
      </c>
      <c r="L64" s="25">
        <f t="shared" si="17"/>
        <v>0</v>
      </c>
      <c r="M64" s="25">
        <f t="shared" si="18"/>
        <v>0</v>
      </c>
      <c r="N64" s="26">
        <f t="shared" si="19"/>
        <v>0.0036300866294244915</v>
      </c>
      <c r="O64" s="25">
        <f t="shared" si="20"/>
        <v>0.0049759948366384895</v>
      </c>
      <c r="P64" s="25">
        <f t="shared" si="21"/>
        <v>0</v>
      </c>
      <c r="Q64" s="25">
        <f t="shared" si="22"/>
        <v>0</v>
      </c>
      <c r="R64" s="27">
        <f t="shared" si="23"/>
        <v>0.003992289087039099</v>
      </c>
      <c r="S64" s="1"/>
      <c r="T64" s="1"/>
      <c r="U64" s="1"/>
      <c r="V64" s="1"/>
      <c r="W64" s="1"/>
      <c r="X64" s="1"/>
      <c r="Y64" s="1"/>
    </row>
    <row r="65" spans="1:25" ht="15" thickBot="1">
      <c r="A65" s="28" t="s">
        <v>33</v>
      </c>
      <c r="B65" s="29">
        <f aca="true" t="shared" si="24" ref="B65:I65">SUM(B46:B64)</f>
        <v>104957.38</v>
      </c>
      <c r="C65" s="29">
        <f t="shared" si="24"/>
        <v>10359.019999999999</v>
      </c>
      <c r="D65" s="29">
        <f t="shared" si="24"/>
        <v>11953.29</v>
      </c>
      <c r="E65" s="30">
        <f t="shared" si="24"/>
        <v>127269.69000000002</v>
      </c>
      <c r="F65" s="29">
        <f t="shared" si="24"/>
        <v>109927.76680000001</v>
      </c>
      <c r="G65" s="29">
        <f t="shared" si="24"/>
        <v>11898.599400000001</v>
      </c>
      <c r="H65" s="29">
        <f t="shared" si="24"/>
        <v>15187.7598</v>
      </c>
      <c r="I65" s="30">
        <f t="shared" si="24"/>
        <v>137014.126</v>
      </c>
      <c r="J65" s="31">
        <f t="shared" si="15"/>
        <v>0.07656525288935623</v>
      </c>
      <c r="K65" s="32">
        <f aca="true" t="shared" si="25" ref="K65:R65">SUM(K46:K64)</f>
        <v>1</v>
      </c>
      <c r="L65" s="32">
        <f t="shared" si="25"/>
        <v>1</v>
      </c>
      <c r="M65" s="32">
        <f t="shared" si="25"/>
        <v>0.9999999999999999</v>
      </c>
      <c r="N65" s="33">
        <f t="shared" si="25"/>
        <v>1</v>
      </c>
      <c r="O65" s="32">
        <f t="shared" si="25"/>
        <v>0.9999999999999998</v>
      </c>
      <c r="P65" s="32">
        <f t="shared" si="25"/>
        <v>0.9999999999999999</v>
      </c>
      <c r="Q65" s="32">
        <f t="shared" si="25"/>
        <v>1</v>
      </c>
      <c r="R65" s="34">
        <f t="shared" si="25"/>
        <v>1.0000000000000002</v>
      </c>
      <c r="S65" s="1"/>
      <c r="T65" s="1"/>
      <c r="U65" s="1"/>
      <c r="V65" s="1"/>
      <c r="W65" s="1"/>
      <c r="X65" s="1"/>
      <c r="Y65" s="1"/>
    </row>
    <row r="66" spans="1:25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4.25">
      <c r="A67" s="1" t="str">
        <f>+A35</f>
        <v>Date</v>
      </c>
      <c r="B67" s="3">
        <f>+B2</f>
        <v>43741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">
      <c r="A70" s="1"/>
      <c r="B70" s="1"/>
      <c r="C70" s="1"/>
      <c r="D70" s="1"/>
      <c r="E70" s="2" t="s">
        <v>37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thickBot="1">
      <c r="A71" s="1"/>
      <c r="B71" s="1"/>
      <c r="C71" s="1"/>
      <c r="D71" s="1"/>
      <c r="E71" s="1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">
      <c r="A72" s="5" t="str">
        <f>+A41</f>
        <v>Canadian Exchange Rate Used: 1996 = .7300 and 1997 = .6966 </v>
      </c>
      <c r="B72" s="6"/>
      <c r="C72" s="6"/>
      <c r="D72" s="6"/>
      <c r="E72" s="6"/>
      <c r="F72" s="36"/>
      <c r="G72" s="6"/>
      <c r="H72" s="6"/>
      <c r="I72" s="6"/>
      <c r="J72" s="6"/>
      <c r="K72" s="6"/>
      <c r="L72" s="6"/>
      <c r="M72" s="7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">
      <c r="A73" s="8"/>
      <c r="B73" s="9"/>
      <c r="C73" s="9"/>
      <c r="D73" s="9"/>
      <c r="E73" s="9"/>
      <c r="F73" s="4"/>
      <c r="G73" s="9"/>
      <c r="H73" s="9"/>
      <c r="I73" s="9"/>
      <c r="J73" s="9"/>
      <c r="K73" s="9"/>
      <c r="L73" s="9"/>
      <c r="M73" s="10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4.25">
      <c r="A74" s="12"/>
      <c r="B74" s="9" t="s">
        <v>72</v>
      </c>
      <c r="C74" s="9"/>
      <c r="D74" s="9"/>
      <c r="E74" s="13"/>
      <c r="F74" s="9" t="s">
        <v>65</v>
      </c>
      <c r="G74" s="9"/>
      <c r="H74" s="9"/>
      <c r="I74" s="13"/>
      <c r="J74" s="9" t="s">
        <v>73</v>
      </c>
      <c r="K74" s="9"/>
      <c r="L74" s="9"/>
      <c r="M74" s="10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4.25">
      <c r="A75" s="12"/>
      <c r="B75" s="9"/>
      <c r="C75" s="9">
        <v>1996</v>
      </c>
      <c r="D75" s="9"/>
      <c r="E75" s="13"/>
      <c r="F75" s="9"/>
      <c r="G75" s="9">
        <v>1997</v>
      </c>
      <c r="H75" s="9"/>
      <c r="I75" s="13"/>
      <c r="J75" s="9"/>
      <c r="K75" s="9">
        <v>1997</v>
      </c>
      <c r="L75" s="9"/>
      <c r="M75" s="10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" thickBot="1">
      <c r="A76" s="15" t="s">
        <v>2</v>
      </c>
      <c r="B76" s="18" t="s">
        <v>3</v>
      </c>
      <c r="C76" s="18" t="s">
        <v>4</v>
      </c>
      <c r="D76" s="18" t="s">
        <v>5</v>
      </c>
      <c r="E76" s="19" t="s">
        <v>6</v>
      </c>
      <c r="F76" s="18" t="s">
        <v>3</v>
      </c>
      <c r="G76" s="18" t="s">
        <v>4</v>
      </c>
      <c r="H76" s="18" t="s">
        <v>5</v>
      </c>
      <c r="I76" s="19" t="s">
        <v>6</v>
      </c>
      <c r="J76" s="18" t="s">
        <v>3</v>
      </c>
      <c r="K76" s="18" t="s">
        <v>4</v>
      </c>
      <c r="L76" s="18" t="s">
        <v>5</v>
      </c>
      <c r="M76" s="21" t="s">
        <v>6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" thickTop="1">
      <c r="A77" s="12"/>
      <c r="B77" s="9"/>
      <c r="C77" s="9"/>
      <c r="D77" s="9"/>
      <c r="E77" s="13"/>
      <c r="F77" s="9"/>
      <c r="G77" s="9"/>
      <c r="H77" s="9"/>
      <c r="I77" s="13"/>
      <c r="J77" s="9"/>
      <c r="K77" s="9"/>
      <c r="L77" s="9"/>
      <c r="M77" s="10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4.25">
      <c r="A78" s="12" t="str">
        <f aca="true" t="shared" si="26" ref="A78:D82">+A46</f>
        <v>Allianz</v>
      </c>
      <c r="B78" s="23">
        <f t="shared" si="26"/>
        <v>35</v>
      </c>
      <c r="C78" s="23">
        <f t="shared" si="26"/>
        <v>0</v>
      </c>
      <c r="D78" s="23">
        <f t="shared" si="26"/>
        <v>28</v>
      </c>
      <c r="E78" s="24">
        <f>+D78+C78+B78</f>
        <v>63</v>
      </c>
      <c r="F78" s="23">
        <f aca="true" t="shared" si="27" ref="F78:H96">+F12</f>
        <v>0</v>
      </c>
      <c r="G78" s="23">
        <f t="shared" si="27"/>
        <v>0</v>
      </c>
      <c r="H78" s="23">
        <f t="shared" si="27"/>
        <v>0</v>
      </c>
      <c r="I78" s="24">
        <f>+H78+G78+F78</f>
        <v>0</v>
      </c>
      <c r="J78" s="23">
        <f aca="true" t="shared" si="28" ref="J78:J96">+F46</f>
        <v>0</v>
      </c>
      <c r="K78" s="23">
        <f aca="true" t="shared" si="29" ref="K78:K96">+G46</f>
        <v>0</v>
      </c>
      <c r="L78" s="23">
        <f aca="true" t="shared" si="30" ref="L78:L96">+H46</f>
        <v>0</v>
      </c>
      <c r="M78" s="38">
        <f>+L78+K78+J78</f>
        <v>0</v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4.25">
      <c r="A79" s="12" t="str">
        <f t="shared" si="26"/>
        <v>BMA</v>
      </c>
      <c r="B79" s="23">
        <f t="shared" si="26"/>
        <v>42</v>
      </c>
      <c r="C79" s="23">
        <f t="shared" si="26"/>
        <v>0</v>
      </c>
      <c r="D79" s="23">
        <f t="shared" si="26"/>
        <v>0</v>
      </c>
      <c r="E79" s="24">
        <f aca="true" t="shared" si="31" ref="E79:E96">+D79+C79+B79</f>
        <v>42</v>
      </c>
      <c r="F79" s="23">
        <f t="shared" si="27"/>
        <v>12</v>
      </c>
      <c r="G79" s="23">
        <f t="shared" si="27"/>
        <v>0</v>
      </c>
      <c r="H79" s="23">
        <f t="shared" si="27"/>
        <v>0</v>
      </c>
      <c r="I79" s="24">
        <f aca="true" t="shared" si="32" ref="I79:I96">+H79+G79+F79</f>
        <v>12</v>
      </c>
      <c r="J79" s="23">
        <f t="shared" si="28"/>
        <v>179</v>
      </c>
      <c r="K79" s="23">
        <f t="shared" si="29"/>
        <v>0</v>
      </c>
      <c r="L79" s="23">
        <f t="shared" si="30"/>
        <v>0</v>
      </c>
      <c r="M79" s="38">
        <f aca="true" t="shared" si="33" ref="M79:M96">+L79+K79+J79</f>
        <v>179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4.25">
      <c r="A80" s="12" t="str">
        <f t="shared" si="26"/>
        <v>CIGNA Re</v>
      </c>
      <c r="B80" s="23">
        <f t="shared" si="26"/>
        <v>294</v>
      </c>
      <c r="C80" s="23">
        <f t="shared" si="26"/>
        <v>0</v>
      </c>
      <c r="D80" s="23">
        <f t="shared" si="26"/>
        <v>292</v>
      </c>
      <c r="E80" s="24">
        <f t="shared" si="31"/>
        <v>586</v>
      </c>
      <c r="F80" s="23">
        <f t="shared" si="27"/>
        <v>19</v>
      </c>
      <c r="G80" s="23">
        <f t="shared" si="27"/>
        <v>0</v>
      </c>
      <c r="H80" s="23">
        <f t="shared" si="27"/>
        <v>8</v>
      </c>
      <c r="I80" s="24">
        <f t="shared" si="32"/>
        <v>27</v>
      </c>
      <c r="J80" s="23">
        <f t="shared" si="28"/>
        <v>288</v>
      </c>
      <c r="K80" s="23">
        <f t="shared" si="29"/>
        <v>0</v>
      </c>
      <c r="L80" s="23">
        <f t="shared" si="30"/>
        <v>104</v>
      </c>
      <c r="M80" s="38">
        <f t="shared" si="33"/>
        <v>392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4.25">
      <c r="A81" s="12" t="str">
        <f t="shared" si="26"/>
        <v>CNA</v>
      </c>
      <c r="B81" s="23">
        <f t="shared" si="26"/>
        <v>31</v>
      </c>
      <c r="C81" s="23">
        <f t="shared" si="26"/>
        <v>0</v>
      </c>
      <c r="D81" s="23">
        <f t="shared" si="26"/>
        <v>0</v>
      </c>
      <c r="E81" s="24">
        <f t="shared" si="31"/>
        <v>31</v>
      </c>
      <c r="F81" s="23">
        <f t="shared" si="27"/>
        <v>34</v>
      </c>
      <c r="G81" s="23">
        <f t="shared" si="27"/>
        <v>0</v>
      </c>
      <c r="H81" s="23">
        <f t="shared" si="27"/>
        <v>0</v>
      </c>
      <c r="I81" s="24">
        <f t="shared" si="32"/>
        <v>34</v>
      </c>
      <c r="J81" s="23">
        <f t="shared" si="28"/>
        <v>160</v>
      </c>
      <c r="K81" s="23">
        <f t="shared" si="29"/>
        <v>0</v>
      </c>
      <c r="L81" s="23">
        <f t="shared" si="30"/>
        <v>0</v>
      </c>
      <c r="M81" s="38">
        <f t="shared" si="33"/>
        <v>160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4.25">
      <c r="A82" s="12" t="str">
        <f t="shared" si="26"/>
        <v>Cologne</v>
      </c>
      <c r="B82" s="23">
        <f t="shared" si="26"/>
        <v>181</v>
      </c>
      <c r="C82" s="23">
        <f t="shared" si="26"/>
        <v>0</v>
      </c>
      <c r="D82" s="23">
        <f t="shared" si="26"/>
        <v>0</v>
      </c>
      <c r="E82" s="24">
        <f t="shared" si="31"/>
        <v>181</v>
      </c>
      <c r="F82" s="23">
        <f t="shared" si="27"/>
        <v>3</v>
      </c>
      <c r="G82" s="23">
        <f t="shared" si="27"/>
        <v>0</v>
      </c>
      <c r="H82" s="23">
        <f t="shared" si="27"/>
        <v>0</v>
      </c>
      <c r="I82" s="24">
        <f t="shared" si="32"/>
        <v>3</v>
      </c>
      <c r="J82" s="23">
        <f t="shared" si="28"/>
        <v>189</v>
      </c>
      <c r="K82" s="23">
        <f t="shared" si="29"/>
        <v>0</v>
      </c>
      <c r="L82" s="23">
        <f t="shared" si="30"/>
        <v>0</v>
      </c>
      <c r="M82" s="38">
        <f t="shared" si="33"/>
        <v>189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4.25">
      <c r="A83" s="12" t="str">
        <f aca="true" t="shared" si="34" ref="A83:A96">+A51</f>
        <v>Employers/ERC</v>
      </c>
      <c r="B83" s="23">
        <f aca="true" t="shared" si="35" ref="B83:D85">+B51</f>
        <v>0</v>
      </c>
      <c r="C83" s="23">
        <f t="shared" si="35"/>
        <v>0</v>
      </c>
      <c r="D83" s="23">
        <f t="shared" si="35"/>
        <v>62</v>
      </c>
      <c r="E83" s="24">
        <f t="shared" si="31"/>
        <v>62</v>
      </c>
      <c r="F83" s="23">
        <f t="shared" si="27"/>
        <v>0</v>
      </c>
      <c r="G83" s="23">
        <f t="shared" si="27"/>
        <v>0</v>
      </c>
      <c r="H83" s="23">
        <f t="shared" si="27"/>
        <v>0</v>
      </c>
      <c r="I83" s="24">
        <f t="shared" si="32"/>
        <v>0</v>
      </c>
      <c r="J83" s="23">
        <f t="shared" si="28"/>
        <v>0</v>
      </c>
      <c r="K83" s="23">
        <f t="shared" si="29"/>
        <v>0</v>
      </c>
      <c r="L83" s="23">
        <f t="shared" si="30"/>
        <v>0</v>
      </c>
      <c r="M83" s="38">
        <f t="shared" si="33"/>
        <v>0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4.25">
      <c r="A84" s="12" t="str">
        <f t="shared" si="34"/>
        <v>Equitable</v>
      </c>
      <c r="B84" s="23">
        <f t="shared" si="35"/>
        <v>0</v>
      </c>
      <c r="C84" s="23">
        <f t="shared" si="35"/>
        <v>0</v>
      </c>
      <c r="D84" s="23">
        <f t="shared" si="35"/>
        <v>535</v>
      </c>
      <c r="E84" s="24">
        <f t="shared" si="31"/>
        <v>535</v>
      </c>
      <c r="F84" s="23">
        <f t="shared" si="27"/>
        <v>0</v>
      </c>
      <c r="G84" s="23">
        <f t="shared" si="27"/>
        <v>0</v>
      </c>
      <c r="H84" s="23">
        <f t="shared" si="27"/>
        <v>158</v>
      </c>
      <c r="I84" s="24">
        <f t="shared" si="32"/>
        <v>158</v>
      </c>
      <c r="J84" s="23">
        <f t="shared" si="28"/>
        <v>0</v>
      </c>
      <c r="K84" s="23">
        <f t="shared" si="29"/>
        <v>0</v>
      </c>
      <c r="L84" s="23">
        <f t="shared" si="30"/>
        <v>718</v>
      </c>
      <c r="M84" s="38">
        <f t="shared" si="33"/>
        <v>718</v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4.25">
      <c r="A85" s="12" t="str">
        <f t="shared" si="34"/>
        <v>Gerling Global</v>
      </c>
      <c r="B85" s="23">
        <f t="shared" si="35"/>
        <v>102</v>
      </c>
      <c r="C85" s="23">
        <f t="shared" si="35"/>
        <v>0</v>
      </c>
      <c r="D85" s="23">
        <f t="shared" si="35"/>
        <v>565</v>
      </c>
      <c r="E85" s="24">
        <f t="shared" si="31"/>
        <v>667</v>
      </c>
      <c r="F85" s="23">
        <f t="shared" si="27"/>
        <v>30</v>
      </c>
      <c r="G85" s="23">
        <f t="shared" si="27"/>
        <v>0</v>
      </c>
      <c r="H85" s="23">
        <f t="shared" si="27"/>
        <v>121</v>
      </c>
      <c r="I85" s="24">
        <f t="shared" si="32"/>
        <v>151</v>
      </c>
      <c r="J85" s="23">
        <f t="shared" si="28"/>
        <v>84</v>
      </c>
      <c r="K85" s="23">
        <f t="shared" si="29"/>
        <v>0</v>
      </c>
      <c r="L85" s="23">
        <f t="shared" si="30"/>
        <v>665</v>
      </c>
      <c r="M85" s="38">
        <f t="shared" si="33"/>
        <v>749</v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4.25">
      <c r="A86" s="12" t="str">
        <f t="shared" si="34"/>
        <v>Life Re</v>
      </c>
      <c r="B86" s="23">
        <f aca="true" t="shared" si="36" ref="B86:D88">+B54</f>
        <v>622.6899999999999</v>
      </c>
      <c r="C86" s="23">
        <f t="shared" si="36"/>
        <v>0</v>
      </c>
      <c r="D86" s="23">
        <f t="shared" si="36"/>
        <v>156.22</v>
      </c>
      <c r="E86" s="24">
        <f t="shared" si="31"/>
        <v>778.91</v>
      </c>
      <c r="F86" s="23">
        <f t="shared" si="27"/>
        <v>9.0558</v>
      </c>
      <c r="G86" s="23">
        <f t="shared" si="27"/>
        <v>0</v>
      </c>
      <c r="H86" s="23">
        <f t="shared" si="27"/>
        <v>0</v>
      </c>
      <c r="I86" s="24">
        <f t="shared" si="32"/>
        <v>9.0558</v>
      </c>
      <c r="J86" s="23">
        <f t="shared" si="28"/>
        <v>570.5154</v>
      </c>
      <c r="K86" s="23">
        <f t="shared" si="29"/>
        <v>0</v>
      </c>
      <c r="L86" s="23">
        <f t="shared" si="30"/>
        <v>144.8928</v>
      </c>
      <c r="M86" s="38">
        <f t="shared" si="33"/>
        <v>715.4082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4.25">
      <c r="A87" s="12" t="str">
        <f t="shared" si="34"/>
        <v>Lincoln Re</v>
      </c>
      <c r="B87" s="23">
        <f t="shared" si="36"/>
        <v>4947</v>
      </c>
      <c r="C87" s="23">
        <f t="shared" si="36"/>
        <v>0</v>
      </c>
      <c r="D87" s="23">
        <f t="shared" si="36"/>
        <v>0</v>
      </c>
      <c r="E87" s="24">
        <f t="shared" si="31"/>
        <v>4947</v>
      </c>
      <c r="F87" s="23">
        <f t="shared" si="27"/>
        <v>1306</v>
      </c>
      <c r="G87" s="23">
        <f t="shared" si="27"/>
        <v>0</v>
      </c>
      <c r="H87" s="23">
        <f t="shared" si="27"/>
        <v>0</v>
      </c>
      <c r="I87" s="24">
        <f t="shared" si="32"/>
        <v>1306</v>
      </c>
      <c r="J87" s="23">
        <f t="shared" si="28"/>
        <v>5321</v>
      </c>
      <c r="K87" s="23">
        <f t="shared" si="29"/>
        <v>0</v>
      </c>
      <c r="L87" s="23">
        <f t="shared" si="30"/>
        <v>0</v>
      </c>
      <c r="M87" s="38">
        <f t="shared" si="33"/>
        <v>5321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4.25">
      <c r="A88" s="12" t="str">
        <f t="shared" si="34"/>
        <v>Manufacturers Life</v>
      </c>
      <c r="B88" s="23">
        <f t="shared" si="36"/>
        <v>0</v>
      </c>
      <c r="C88" s="23">
        <f t="shared" si="36"/>
        <v>3493.0499999999997</v>
      </c>
      <c r="D88" s="23">
        <f t="shared" si="36"/>
        <v>5004.15</v>
      </c>
      <c r="E88" s="24">
        <f t="shared" si="31"/>
        <v>8497.199999999999</v>
      </c>
      <c r="F88" s="23">
        <f t="shared" si="27"/>
        <v>0</v>
      </c>
      <c r="G88" s="23">
        <f t="shared" si="27"/>
        <v>19</v>
      </c>
      <c r="H88" s="23">
        <f t="shared" si="27"/>
        <v>779</v>
      </c>
      <c r="I88" s="24">
        <f t="shared" si="32"/>
        <v>798</v>
      </c>
      <c r="J88" s="23">
        <f t="shared" si="28"/>
        <v>0</v>
      </c>
      <c r="K88" s="23">
        <f t="shared" si="29"/>
        <v>3150</v>
      </c>
      <c r="L88" s="23">
        <f t="shared" si="30"/>
        <v>5333</v>
      </c>
      <c r="M88" s="38">
        <f t="shared" si="33"/>
        <v>8483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4.25">
      <c r="A89" s="12" t="str">
        <f t="shared" si="34"/>
        <v>Munich Re (Canada)</v>
      </c>
      <c r="B89" s="23">
        <f>+B57</f>
        <v>34103</v>
      </c>
      <c r="C89" s="23">
        <f>+C57</f>
        <v>885</v>
      </c>
      <c r="D89" s="23">
        <f>+D57</f>
        <v>0</v>
      </c>
      <c r="E89" s="24">
        <f t="shared" si="31"/>
        <v>34988</v>
      </c>
      <c r="F89" s="23">
        <f t="shared" si="27"/>
        <v>7053.075</v>
      </c>
      <c r="G89" s="23">
        <f t="shared" si="27"/>
        <v>1692.0414</v>
      </c>
      <c r="H89" s="23">
        <f t="shared" si="27"/>
        <v>0</v>
      </c>
      <c r="I89" s="24">
        <f t="shared" si="32"/>
        <v>8745.116399999999</v>
      </c>
      <c r="J89" s="23">
        <f t="shared" si="28"/>
        <v>34768.6992</v>
      </c>
      <c r="K89" s="23">
        <f t="shared" si="29"/>
        <v>1685.0754</v>
      </c>
      <c r="L89" s="23">
        <f t="shared" si="30"/>
        <v>0</v>
      </c>
      <c r="M89" s="38">
        <f t="shared" si="33"/>
        <v>36453.774600000004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4.25">
      <c r="A90" s="12" t="str">
        <f t="shared" si="34"/>
        <v>Mutual Group</v>
      </c>
      <c r="B90" s="23">
        <f aca="true" t="shared" si="37" ref="B90:D93">+B58</f>
        <v>0</v>
      </c>
      <c r="C90" s="23">
        <f t="shared" si="37"/>
        <v>0</v>
      </c>
      <c r="D90" s="23">
        <f t="shared" si="37"/>
        <v>183.23</v>
      </c>
      <c r="E90" s="24">
        <f t="shared" si="31"/>
        <v>183.23</v>
      </c>
      <c r="F90" s="23">
        <f t="shared" si="27"/>
        <v>0</v>
      </c>
      <c r="G90" s="23">
        <f t="shared" si="27"/>
        <v>0</v>
      </c>
      <c r="H90" s="23">
        <f t="shared" si="27"/>
        <v>29.9538</v>
      </c>
      <c r="I90" s="24">
        <f t="shared" si="32"/>
        <v>29.9538</v>
      </c>
      <c r="J90" s="23">
        <f t="shared" si="28"/>
        <v>0</v>
      </c>
      <c r="K90" s="23">
        <f t="shared" si="29"/>
        <v>0</v>
      </c>
      <c r="L90" s="23">
        <f t="shared" si="30"/>
        <v>191.565</v>
      </c>
      <c r="M90" s="38">
        <f t="shared" si="33"/>
        <v>191.565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4.25">
      <c r="A91" s="12" t="str">
        <f t="shared" si="34"/>
        <v>Optimum Re (CAN)</v>
      </c>
      <c r="B91" s="23">
        <f t="shared" si="37"/>
        <v>4861.07</v>
      </c>
      <c r="C91" s="23">
        <f t="shared" si="37"/>
        <v>750.4399999999999</v>
      </c>
      <c r="D91" s="23">
        <f t="shared" si="37"/>
        <v>0</v>
      </c>
      <c r="E91" s="24">
        <f t="shared" si="31"/>
        <v>5611.509999999999</v>
      </c>
      <c r="F91" s="23">
        <f t="shared" si="27"/>
        <v>715.4082</v>
      </c>
      <c r="G91" s="23">
        <f t="shared" si="27"/>
        <v>525.2364</v>
      </c>
      <c r="H91" s="23">
        <f t="shared" si="27"/>
        <v>0</v>
      </c>
      <c r="I91" s="24">
        <f t="shared" si="32"/>
        <v>1240.6446</v>
      </c>
      <c r="J91" s="23">
        <f t="shared" si="28"/>
        <v>4859.4816</v>
      </c>
      <c r="K91" s="23">
        <f t="shared" si="29"/>
        <v>1409.2218</v>
      </c>
      <c r="L91" s="23">
        <f t="shared" si="30"/>
        <v>0</v>
      </c>
      <c r="M91" s="38">
        <f t="shared" si="33"/>
        <v>6268.7034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4.25">
      <c r="A92" s="12" t="str">
        <f t="shared" si="34"/>
        <v>RGA Re (Canada)</v>
      </c>
      <c r="B92" s="23">
        <f t="shared" si="37"/>
        <v>17103.899999999998</v>
      </c>
      <c r="C92" s="23">
        <f t="shared" si="37"/>
        <v>2771.81</v>
      </c>
      <c r="D92" s="23">
        <f t="shared" si="37"/>
        <v>2466.67</v>
      </c>
      <c r="E92" s="24">
        <f t="shared" si="31"/>
        <v>22342.379999999997</v>
      </c>
      <c r="F92" s="23">
        <f t="shared" si="27"/>
        <v>5107.4712</v>
      </c>
      <c r="G92" s="23">
        <f t="shared" si="27"/>
        <v>2399.0904</v>
      </c>
      <c r="H92" s="23">
        <f t="shared" si="27"/>
        <v>16.7184</v>
      </c>
      <c r="I92" s="24">
        <f t="shared" si="32"/>
        <v>7523.280000000001</v>
      </c>
      <c r="J92" s="23">
        <f t="shared" si="28"/>
        <v>19904.6484</v>
      </c>
      <c r="K92" s="23">
        <f t="shared" si="29"/>
        <v>5030.8452</v>
      </c>
      <c r="L92" s="23">
        <f t="shared" si="30"/>
        <v>2251.4112</v>
      </c>
      <c r="M92" s="38">
        <f t="shared" si="33"/>
        <v>27186.904799999997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4.25">
      <c r="A93" s="12" t="str">
        <f t="shared" si="34"/>
        <v>RGA</v>
      </c>
      <c r="B93" s="23">
        <f t="shared" si="37"/>
        <v>834</v>
      </c>
      <c r="C93" s="23">
        <f t="shared" si="37"/>
        <v>2047</v>
      </c>
      <c r="D93" s="23">
        <f t="shared" si="37"/>
        <v>344</v>
      </c>
      <c r="E93" s="24">
        <f t="shared" si="31"/>
        <v>3225</v>
      </c>
      <c r="F93" s="23">
        <f t="shared" si="27"/>
        <v>40</v>
      </c>
      <c r="G93" s="23">
        <f t="shared" si="27"/>
        <v>0</v>
      </c>
      <c r="H93" s="23">
        <f t="shared" si="27"/>
        <v>3048</v>
      </c>
      <c r="I93" s="24">
        <f t="shared" si="32"/>
        <v>3088</v>
      </c>
      <c r="J93" s="23">
        <f t="shared" si="28"/>
        <v>343</v>
      </c>
      <c r="K93" s="23">
        <f t="shared" si="29"/>
        <v>0</v>
      </c>
      <c r="L93" s="23">
        <f t="shared" si="30"/>
        <v>3176</v>
      </c>
      <c r="M93" s="38">
        <f t="shared" si="33"/>
        <v>3519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4.25">
      <c r="A94" s="12" t="str">
        <f t="shared" si="34"/>
        <v>Sun Life</v>
      </c>
      <c r="B94" s="23">
        <f aca="true" t="shared" si="38" ref="B94:D95">+B62</f>
        <v>0</v>
      </c>
      <c r="C94" s="23">
        <f t="shared" si="38"/>
        <v>0</v>
      </c>
      <c r="D94" s="23">
        <f t="shared" si="38"/>
        <v>2317.02</v>
      </c>
      <c r="E94" s="24">
        <f t="shared" si="31"/>
        <v>2317.02</v>
      </c>
      <c r="F94" s="23">
        <f t="shared" si="27"/>
        <v>0</v>
      </c>
      <c r="G94" s="23">
        <f t="shared" si="27"/>
        <v>0</v>
      </c>
      <c r="H94" s="23">
        <f t="shared" si="27"/>
        <v>555.8868</v>
      </c>
      <c r="I94" s="24">
        <f t="shared" si="32"/>
        <v>555.8868</v>
      </c>
      <c r="J94" s="23">
        <f t="shared" si="28"/>
        <v>0</v>
      </c>
      <c r="K94" s="23">
        <f t="shared" si="29"/>
        <v>0</v>
      </c>
      <c r="L94" s="23">
        <f t="shared" si="30"/>
        <v>2603.8908</v>
      </c>
      <c r="M94" s="38">
        <f t="shared" si="33"/>
        <v>2603.8908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4.25">
      <c r="A95" s="12" t="str">
        <f t="shared" si="34"/>
        <v>Swiss Re (incl. M&amp;G)</v>
      </c>
      <c r="B95" s="23">
        <f t="shared" si="38"/>
        <v>41338.72</v>
      </c>
      <c r="C95" s="23">
        <f t="shared" si="38"/>
        <v>411.71999999999997</v>
      </c>
      <c r="D95" s="23">
        <f t="shared" si="38"/>
        <v>0</v>
      </c>
      <c r="E95" s="24">
        <f t="shared" si="31"/>
        <v>41750.44</v>
      </c>
      <c r="F95" s="23">
        <f t="shared" si="27"/>
        <v>7459.8894</v>
      </c>
      <c r="G95" s="23">
        <f t="shared" si="27"/>
        <v>0</v>
      </c>
      <c r="H95" s="23">
        <f t="shared" si="27"/>
        <v>0</v>
      </c>
      <c r="I95" s="24">
        <f t="shared" si="32"/>
        <v>7459.8894</v>
      </c>
      <c r="J95" s="23">
        <f t="shared" si="28"/>
        <v>42713.4222</v>
      </c>
      <c r="K95" s="23">
        <f t="shared" si="29"/>
        <v>623.457</v>
      </c>
      <c r="L95" s="23">
        <f t="shared" si="30"/>
        <v>0</v>
      </c>
      <c r="M95" s="38">
        <f t="shared" si="33"/>
        <v>43336.8792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" thickBot="1">
      <c r="A96" s="12" t="str">
        <f t="shared" si="34"/>
        <v>Transamerica Re</v>
      </c>
      <c r="B96" s="23">
        <f>+B64</f>
        <v>462</v>
      </c>
      <c r="C96" s="23">
        <f>+C64</f>
        <v>0</v>
      </c>
      <c r="D96" s="23">
        <f>+D64</f>
        <v>0</v>
      </c>
      <c r="E96" s="24">
        <f t="shared" si="31"/>
        <v>462</v>
      </c>
      <c r="F96" s="23">
        <f t="shared" si="27"/>
        <v>0</v>
      </c>
      <c r="G96" s="23">
        <f t="shared" si="27"/>
        <v>0</v>
      </c>
      <c r="H96" s="23">
        <f t="shared" si="27"/>
        <v>0</v>
      </c>
      <c r="I96" s="24">
        <f t="shared" si="32"/>
        <v>0</v>
      </c>
      <c r="J96" s="23">
        <f t="shared" si="28"/>
        <v>547</v>
      </c>
      <c r="K96" s="23">
        <f t="shared" si="29"/>
        <v>0</v>
      </c>
      <c r="L96" s="23">
        <f t="shared" si="30"/>
        <v>0</v>
      </c>
      <c r="M96" s="38">
        <f t="shared" si="33"/>
        <v>547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" thickBot="1">
      <c r="A97" s="28" t="s">
        <v>33</v>
      </c>
      <c r="B97" s="29">
        <f aca="true" t="shared" si="39" ref="B97:M97">SUM(B78:B96)</f>
        <v>104957.38</v>
      </c>
      <c r="C97" s="29">
        <f t="shared" si="39"/>
        <v>10359.019999999999</v>
      </c>
      <c r="D97" s="29">
        <f t="shared" si="39"/>
        <v>11953.29</v>
      </c>
      <c r="E97" s="30">
        <f t="shared" si="39"/>
        <v>127269.69000000002</v>
      </c>
      <c r="F97" s="29">
        <f t="shared" si="39"/>
        <v>21788.899599999997</v>
      </c>
      <c r="G97" s="29">
        <f t="shared" si="39"/>
        <v>4635.3682</v>
      </c>
      <c r="H97" s="29">
        <f t="shared" si="39"/>
        <v>4716.559</v>
      </c>
      <c r="I97" s="29">
        <f t="shared" si="39"/>
        <v>31140.8268</v>
      </c>
      <c r="J97" s="45">
        <f t="shared" si="39"/>
        <v>109927.76680000001</v>
      </c>
      <c r="K97" s="29">
        <f t="shared" si="39"/>
        <v>11898.599400000001</v>
      </c>
      <c r="L97" s="29">
        <f t="shared" si="39"/>
        <v>15187.7598</v>
      </c>
      <c r="M97" s="39">
        <f t="shared" si="39"/>
        <v>137014.126</v>
      </c>
      <c r="N97" s="9"/>
      <c r="O97" s="9"/>
      <c r="P97" s="9"/>
      <c r="Q97" s="9"/>
      <c r="R97" s="9"/>
      <c r="S97" s="9"/>
      <c r="T97" s="9"/>
      <c r="U97" s="1"/>
      <c r="V97" s="1"/>
      <c r="W97" s="1"/>
      <c r="X97" s="1"/>
      <c r="Y97" s="1"/>
    </row>
    <row r="98" spans="1:25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9"/>
      <c r="O98" s="9"/>
      <c r="P98" s="9"/>
      <c r="Q98" s="9"/>
      <c r="R98" s="9"/>
      <c r="S98" s="9"/>
      <c r="T98" s="9"/>
      <c r="U98" s="1"/>
      <c r="V98" s="1"/>
      <c r="W98" s="1"/>
      <c r="X98" s="1"/>
      <c r="Y98" s="1"/>
    </row>
    <row r="99" spans="1:25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</sheetData>
  <sheetProtection/>
  <printOptions/>
  <pageMargins left="0.75" right="0.75" top="1" bottom="1" header="0.5" footer="0.5"/>
  <pageSetup fitToHeight="1" fitToWidth="1" horizontalDpi="300" verticalDpi="3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8515625" style="0" bestFit="1" customWidth="1"/>
    <col min="8" max="8" width="11.7109375" style="0" bestFit="1" customWidth="1"/>
  </cols>
  <sheetData>
    <row r="1" spans="1:20" ht="14.25">
      <c r="A1" s="1" t="s">
        <v>38</v>
      </c>
      <c r="B1" s="3">
        <f ca="1">TODAY()</f>
        <v>43741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>
      <c r="A3" s="1"/>
      <c r="B3" s="1"/>
      <c r="C3" s="2" t="s">
        <v>48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.75" thickBot="1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4.25">
      <c r="A5" s="5" t="s">
        <v>63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1"/>
    </row>
    <row r="6" spans="1:20" ht="14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0"/>
      <c r="T6" s="1"/>
    </row>
    <row r="7" spans="1:20" ht="14.25">
      <c r="A7" s="12"/>
      <c r="B7" s="9"/>
      <c r="C7" s="9" t="s">
        <v>74</v>
      </c>
      <c r="D7" s="9"/>
      <c r="E7" s="9"/>
      <c r="F7" s="9"/>
      <c r="G7" s="9"/>
      <c r="H7" s="11"/>
      <c r="I7" s="9"/>
      <c r="J7" s="9" t="s">
        <v>76</v>
      </c>
      <c r="K7" s="9"/>
      <c r="L7" s="9"/>
      <c r="M7" s="9"/>
      <c r="N7" s="46"/>
      <c r="O7" s="47" t="s">
        <v>47</v>
      </c>
      <c r="P7" s="47"/>
      <c r="Q7" s="9"/>
      <c r="R7" s="9"/>
      <c r="S7" s="10"/>
      <c r="T7" s="1"/>
    </row>
    <row r="8" spans="1:20" ht="14.25">
      <c r="A8" s="12"/>
      <c r="B8" s="9"/>
      <c r="C8" s="9">
        <v>1996</v>
      </c>
      <c r="D8" s="13"/>
      <c r="E8" s="9"/>
      <c r="F8" s="9">
        <v>1997</v>
      </c>
      <c r="G8" s="9"/>
      <c r="H8" s="14" t="s">
        <v>7</v>
      </c>
      <c r="I8" s="9"/>
      <c r="J8" s="9">
        <v>1996</v>
      </c>
      <c r="K8" s="13"/>
      <c r="L8" s="9"/>
      <c r="M8" s="9">
        <v>1997</v>
      </c>
      <c r="N8" s="46"/>
      <c r="O8" s="44">
        <v>1996</v>
      </c>
      <c r="P8" s="48">
        <v>1997</v>
      </c>
      <c r="Q8" s="14" t="s">
        <v>42</v>
      </c>
      <c r="R8" s="47" t="s">
        <v>75</v>
      </c>
      <c r="S8" s="49"/>
      <c r="T8" s="1"/>
    </row>
    <row r="9" spans="1:20" ht="15" thickBot="1">
      <c r="A9" s="15" t="s">
        <v>2</v>
      </c>
      <c r="B9" s="18" t="s">
        <v>39</v>
      </c>
      <c r="C9" s="18" t="s">
        <v>40</v>
      </c>
      <c r="D9" s="19" t="s">
        <v>6</v>
      </c>
      <c r="E9" s="18" t="s">
        <v>39</v>
      </c>
      <c r="F9" s="18" t="s">
        <v>40</v>
      </c>
      <c r="G9" s="18" t="s">
        <v>6</v>
      </c>
      <c r="H9" s="20" t="s">
        <v>8</v>
      </c>
      <c r="I9" s="18" t="s">
        <v>39</v>
      </c>
      <c r="J9" s="18" t="s">
        <v>40</v>
      </c>
      <c r="K9" s="19" t="s">
        <v>6</v>
      </c>
      <c r="L9" s="18" t="s">
        <v>39</v>
      </c>
      <c r="M9" s="18" t="s">
        <v>40</v>
      </c>
      <c r="N9" s="50" t="s">
        <v>6</v>
      </c>
      <c r="O9" s="18" t="s">
        <v>41</v>
      </c>
      <c r="P9" s="19" t="s">
        <v>41</v>
      </c>
      <c r="Q9" s="20" t="s">
        <v>40</v>
      </c>
      <c r="R9" s="51">
        <v>19.96</v>
      </c>
      <c r="S9" s="52">
        <v>19.97</v>
      </c>
      <c r="T9" s="1"/>
    </row>
    <row r="10" spans="1:20" ht="15" thickTop="1">
      <c r="A10" s="12"/>
      <c r="B10" s="9"/>
      <c r="C10" s="9"/>
      <c r="D10" s="13"/>
      <c r="E10" s="9"/>
      <c r="F10" s="9"/>
      <c r="G10" s="9"/>
      <c r="H10" s="11"/>
      <c r="I10" s="9"/>
      <c r="J10" s="9"/>
      <c r="K10" s="13"/>
      <c r="L10" s="9"/>
      <c r="M10" s="9"/>
      <c r="N10" s="46"/>
      <c r="O10" s="9"/>
      <c r="P10" s="13"/>
      <c r="Q10" s="11"/>
      <c r="R10" s="9"/>
      <c r="S10" s="10"/>
      <c r="T10" s="1"/>
    </row>
    <row r="11" spans="1:20" ht="14.25">
      <c r="A11" s="12" t="s">
        <v>10</v>
      </c>
      <c r="B11" s="23">
        <v>165</v>
      </c>
      <c r="C11" s="23">
        <v>0</v>
      </c>
      <c r="D11" s="24">
        <f>+C11+B11</f>
        <v>165</v>
      </c>
      <c r="E11" s="23">
        <v>54</v>
      </c>
      <c r="F11" s="23">
        <v>5066</v>
      </c>
      <c r="G11" s="23">
        <f>+F11+E11</f>
        <v>5120</v>
      </c>
      <c r="H11" s="22">
        <f>IF(+D11&gt;0,(+G11-D11)/D11,0)</f>
        <v>30.03030303030303</v>
      </c>
      <c r="I11" s="25">
        <f aca="true" t="shared" si="0" ref="I11:I28">+B11/$B$30</f>
        <v>0.01996500678810231</v>
      </c>
      <c r="J11" s="25">
        <f aca="true" t="shared" si="1" ref="J11:J28">+C11/$C$30</f>
        <v>0</v>
      </c>
      <c r="K11" s="26">
        <f aca="true" t="shared" si="2" ref="K11:K28">+D11/$D$30</f>
        <v>0.011443917176556755</v>
      </c>
      <c r="L11" s="25">
        <f aca="true" t="shared" si="3" ref="L11:L28">+E11/$E$30</f>
        <v>0.0015964337703545158</v>
      </c>
      <c r="M11" s="25">
        <f aca="true" t="shared" si="4" ref="M11:M28">+F11/$F$30</f>
        <v>0.38598095238095237</v>
      </c>
      <c r="N11" s="53">
        <f aca="true" t="shared" si="5" ref="N11:N28">+G11/$G$30</f>
        <v>0.10905126988372059</v>
      </c>
      <c r="O11" s="23">
        <v>1541</v>
      </c>
      <c r="P11" s="24">
        <v>6569</v>
      </c>
      <c r="Q11" s="22">
        <f>IF(+O11&gt;0,(+P11-O11)/O11,0)</f>
        <v>3.262816353017521</v>
      </c>
      <c r="R11" s="25">
        <f aca="true" t="shared" si="6" ref="R11:R28">+O11/$O$30</f>
        <v>0.023730265266175502</v>
      </c>
      <c r="S11" s="27">
        <f aca="true" t="shared" si="7" ref="S11:S28">+P11/$P$30</f>
        <v>0.06168890882233342</v>
      </c>
      <c r="T11" s="1"/>
    </row>
    <row r="12" spans="1:20" ht="14.25">
      <c r="A12" s="12" t="s">
        <v>11</v>
      </c>
      <c r="B12" s="23">
        <v>15</v>
      </c>
      <c r="C12" s="23">
        <v>46</v>
      </c>
      <c r="D12" s="24">
        <f aca="true" t="shared" si="8" ref="D12:D28">+C12+B12</f>
        <v>61</v>
      </c>
      <c r="E12" s="23">
        <v>167</v>
      </c>
      <c r="F12" s="23">
        <v>0</v>
      </c>
      <c r="G12" s="23">
        <f aca="true" t="shared" si="9" ref="G12:G28">+F12+E12</f>
        <v>167</v>
      </c>
      <c r="H12" s="22">
        <f aca="true" t="shared" si="10" ref="H12:H30">IF(+D12&gt;0,(+G12-D12)/D12,0)</f>
        <v>1.7377049180327868</v>
      </c>
      <c r="I12" s="25">
        <f t="shared" si="0"/>
        <v>0.00181500061710021</v>
      </c>
      <c r="J12" s="25">
        <f t="shared" si="1"/>
        <v>0.007475201830449422</v>
      </c>
      <c r="K12" s="26">
        <f t="shared" si="2"/>
        <v>0.004230781501636134</v>
      </c>
      <c r="L12" s="25">
        <f t="shared" si="3"/>
        <v>0.00493711925276304</v>
      </c>
      <c r="M12" s="25">
        <f t="shared" si="4"/>
        <v>0</v>
      </c>
      <c r="N12" s="53">
        <f t="shared" si="5"/>
        <v>0.003556945716910418</v>
      </c>
      <c r="O12" s="23">
        <v>1896</v>
      </c>
      <c r="P12" s="24">
        <v>1376</v>
      </c>
      <c r="Q12" s="22">
        <f aca="true" t="shared" si="11" ref="Q12:Q28">IF(+O12&gt;0,(+P12-O12)/O12,0)</f>
        <v>-0.2742616033755274</v>
      </c>
      <c r="R12" s="25">
        <f t="shared" si="6"/>
        <v>0.029197003857669535</v>
      </c>
      <c r="S12" s="27">
        <f t="shared" si="7"/>
        <v>0.01292189656561589</v>
      </c>
      <c r="T12" s="1"/>
    </row>
    <row r="13" spans="1:20" ht="14.25">
      <c r="A13" s="12" t="s">
        <v>12</v>
      </c>
      <c r="B13" s="23">
        <v>0</v>
      </c>
      <c r="C13" s="23">
        <v>4</v>
      </c>
      <c r="D13" s="24">
        <f t="shared" si="8"/>
        <v>4</v>
      </c>
      <c r="E13" s="23">
        <v>0</v>
      </c>
      <c r="F13" s="23">
        <v>0</v>
      </c>
      <c r="G13" s="23">
        <f t="shared" si="9"/>
        <v>0</v>
      </c>
      <c r="H13" s="22">
        <f t="shared" si="10"/>
        <v>-1</v>
      </c>
      <c r="I13" s="25">
        <f t="shared" si="0"/>
        <v>0</v>
      </c>
      <c r="J13" s="25">
        <f t="shared" si="1"/>
        <v>0.0006500175504738628</v>
      </c>
      <c r="K13" s="26">
        <f t="shared" si="2"/>
        <v>0.00027742829518925463</v>
      </c>
      <c r="L13" s="25">
        <f t="shared" si="3"/>
        <v>0</v>
      </c>
      <c r="M13" s="25">
        <f t="shared" si="4"/>
        <v>0</v>
      </c>
      <c r="N13" s="53">
        <f t="shared" si="5"/>
        <v>0</v>
      </c>
      <c r="O13" s="23">
        <v>35</v>
      </c>
      <c r="P13" s="24">
        <v>39</v>
      </c>
      <c r="Q13" s="22">
        <f t="shared" si="11"/>
        <v>0.11428571428571428</v>
      </c>
      <c r="R13" s="25">
        <f t="shared" si="6"/>
        <v>0.0005389742273303976</v>
      </c>
      <c r="S13" s="27">
        <f t="shared" si="7"/>
        <v>0.0003662456148684736</v>
      </c>
      <c r="T13" s="1"/>
    </row>
    <row r="14" spans="1:20" ht="14.25">
      <c r="A14" s="12" t="s">
        <v>78</v>
      </c>
      <c r="B14" s="23">
        <v>374</v>
      </c>
      <c r="C14" s="23">
        <v>0</v>
      </c>
      <c r="D14" s="24">
        <f t="shared" si="8"/>
        <v>374</v>
      </c>
      <c r="E14" s="23">
        <v>855</v>
      </c>
      <c r="F14" s="23">
        <v>0</v>
      </c>
      <c r="G14" s="23">
        <f t="shared" si="9"/>
        <v>855</v>
      </c>
      <c r="H14" s="22">
        <f t="shared" si="10"/>
        <v>1.286096256684492</v>
      </c>
      <c r="I14" s="25">
        <f t="shared" si="0"/>
        <v>0.04525401538636523</v>
      </c>
      <c r="J14" s="25">
        <f t="shared" si="1"/>
        <v>0</v>
      </c>
      <c r="K14" s="26">
        <f t="shared" si="2"/>
        <v>0.02593954560019531</v>
      </c>
      <c r="L14" s="25">
        <f t="shared" si="3"/>
        <v>0.02527686803061317</v>
      </c>
      <c r="M14" s="25">
        <f t="shared" si="4"/>
        <v>0</v>
      </c>
      <c r="N14" s="53">
        <f t="shared" si="5"/>
        <v>0.01821071010753537</v>
      </c>
      <c r="O14" s="23">
        <v>5496</v>
      </c>
      <c r="P14" s="24">
        <v>8385</v>
      </c>
      <c r="Q14" s="22">
        <f t="shared" si="11"/>
        <v>0.5256550218340611</v>
      </c>
      <c r="R14" s="25">
        <f t="shared" si="6"/>
        <v>0.08463435295451043</v>
      </c>
      <c r="S14" s="27">
        <f t="shared" si="7"/>
        <v>0.07874280719672183</v>
      </c>
      <c r="T14" s="1"/>
    </row>
    <row r="15" spans="1:20" ht="14.25">
      <c r="A15" s="12" t="s">
        <v>44</v>
      </c>
      <c r="B15" s="23">
        <v>70</v>
      </c>
      <c r="C15" s="23">
        <v>45</v>
      </c>
      <c r="D15" s="24">
        <f t="shared" si="8"/>
        <v>115</v>
      </c>
      <c r="E15" s="23">
        <v>61</v>
      </c>
      <c r="F15" s="23">
        <v>78</v>
      </c>
      <c r="G15" s="23">
        <f t="shared" si="9"/>
        <v>139</v>
      </c>
      <c r="H15" s="22">
        <f t="shared" si="10"/>
        <v>0.20869565217391303</v>
      </c>
      <c r="I15" s="25">
        <f t="shared" si="0"/>
        <v>0.00847000287980098</v>
      </c>
      <c r="J15" s="25">
        <f t="shared" si="1"/>
        <v>0.007312697442830956</v>
      </c>
      <c r="K15" s="26">
        <f t="shared" si="2"/>
        <v>0.007976063486691071</v>
      </c>
      <c r="L15" s="25">
        <f t="shared" si="3"/>
        <v>0.0018033788887338049</v>
      </c>
      <c r="M15" s="25">
        <f t="shared" si="4"/>
        <v>0.005942857142857143</v>
      </c>
      <c r="N15" s="53">
        <f t="shared" si="5"/>
        <v>0.0029605715847338208</v>
      </c>
      <c r="O15" s="23">
        <v>281</v>
      </c>
      <c r="P15" s="24">
        <v>291</v>
      </c>
      <c r="Q15" s="22">
        <f t="shared" si="11"/>
        <v>0.03558718861209965</v>
      </c>
      <c r="R15" s="25">
        <f t="shared" si="6"/>
        <v>0.004327193082281191</v>
      </c>
      <c r="S15" s="27">
        <f t="shared" si="7"/>
        <v>0.0027327557417109183</v>
      </c>
      <c r="T15" s="1"/>
    </row>
    <row r="16" spans="1:20" ht="14.25">
      <c r="A16" s="12" t="s">
        <v>14</v>
      </c>
      <c r="B16" s="23">
        <v>229</v>
      </c>
      <c r="C16" s="23">
        <v>0</v>
      </c>
      <c r="D16" s="24">
        <f t="shared" si="8"/>
        <v>229</v>
      </c>
      <c r="E16" s="23">
        <v>2020</v>
      </c>
      <c r="F16" s="23">
        <v>0</v>
      </c>
      <c r="G16" s="23">
        <f t="shared" si="9"/>
        <v>2020</v>
      </c>
      <c r="H16" s="22">
        <f t="shared" si="10"/>
        <v>7.820960698689956</v>
      </c>
      <c r="I16" s="25">
        <f t="shared" si="0"/>
        <v>0.027709009421063205</v>
      </c>
      <c r="J16" s="25">
        <f t="shared" si="1"/>
        <v>0</v>
      </c>
      <c r="K16" s="26">
        <f t="shared" si="2"/>
        <v>0.015882769899584828</v>
      </c>
      <c r="L16" s="25">
        <f t="shared" si="3"/>
        <v>0.05971844844659485</v>
      </c>
      <c r="M16" s="25">
        <f t="shared" si="4"/>
        <v>0</v>
      </c>
      <c r="N16" s="53">
        <f t="shared" si="5"/>
        <v>0.04302413382131164</v>
      </c>
      <c r="O16" s="23">
        <v>1708</v>
      </c>
      <c r="P16" s="24">
        <v>3468</v>
      </c>
      <c r="Q16" s="22">
        <f t="shared" si="11"/>
        <v>1.0304449648711944</v>
      </c>
      <c r="R16" s="25">
        <f t="shared" si="6"/>
        <v>0.026301942293723398</v>
      </c>
      <c r="S16" s="27">
        <f t="shared" si="7"/>
        <v>0.032567686983688886</v>
      </c>
      <c r="T16" s="1"/>
    </row>
    <row r="17" spans="1:20" ht="14.25">
      <c r="A17" s="12" t="s">
        <v>15</v>
      </c>
      <c r="B17" s="23">
        <f>2*0.73</f>
        <v>1.46</v>
      </c>
      <c r="C17" s="23">
        <v>0</v>
      </c>
      <c r="D17" s="24">
        <f t="shared" si="8"/>
        <v>1.46</v>
      </c>
      <c r="E17" s="23">
        <f>2*0.6966</f>
        <v>1.3932</v>
      </c>
      <c r="F17" s="23">
        <v>0</v>
      </c>
      <c r="G17" s="23">
        <f t="shared" si="9"/>
        <v>1.3932</v>
      </c>
      <c r="H17" s="22">
        <f t="shared" si="10"/>
        <v>-0.04575342465753423</v>
      </c>
      <c r="I17" s="25">
        <f t="shared" si="0"/>
        <v>0.00017666006006442043</v>
      </c>
      <c r="J17" s="25">
        <f t="shared" si="1"/>
        <v>0</v>
      </c>
      <c r="K17" s="26">
        <f t="shared" si="2"/>
        <v>0.00010126132774407795</v>
      </c>
      <c r="L17" s="25">
        <f t="shared" si="3"/>
        <v>4.118799127514651E-05</v>
      </c>
      <c r="M17" s="25">
        <f t="shared" si="4"/>
        <v>0</v>
      </c>
      <c r="N17" s="53">
        <f t="shared" si="5"/>
        <v>2.9673872891015534E-05</v>
      </c>
      <c r="O17" s="23">
        <f>3146*0.73</f>
        <v>2296.58</v>
      </c>
      <c r="P17" s="24">
        <f>1701*0.6966</f>
        <v>1184.9166</v>
      </c>
      <c r="Q17" s="22">
        <f t="shared" si="11"/>
        <v>-0.484051676841216</v>
      </c>
      <c r="R17" s="25">
        <f t="shared" si="6"/>
        <v>0.03536564088578412</v>
      </c>
      <c r="S17" s="27">
        <f t="shared" si="7"/>
        <v>0.011127448941919518</v>
      </c>
      <c r="T17" s="1"/>
    </row>
    <row r="18" spans="1:20" ht="14.25">
      <c r="A18" s="12" t="s">
        <v>45</v>
      </c>
      <c r="B18" s="23">
        <v>130</v>
      </c>
      <c r="C18" s="23">
        <v>180</v>
      </c>
      <c r="D18" s="24">
        <f t="shared" si="8"/>
        <v>310</v>
      </c>
      <c r="E18" s="23">
        <f>2610+11</f>
        <v>2621</v>
      </c>
      <c r="F18" s="23">
        <v>0</v>
      </c>
      <c r="G18" s="23">
        <f t="shared" si="9"/>
        <v>2621</v>
      </c>
      <c r="H18" s="22">
        <f t="shared" si="10"/>
        <v>7.45483870967742</v>
      </c>
      <c r="I18" s="25">
        <f t="shared" si="0"/>
        <v>0.01573000534820182</v>
      </c>
      <c r="J18" s="25">
        <f t="shared" si="1"/>
        <v>0.029250789771323824</v>
      </c>
      <c r="K18" s="26">
        <f t="shared" si="2"/>
        <v>0.021500692877167236</v>
      </c>
      <c r="L18" s="25">
        <f t="shared" si="3"/>
        <v>0.07748616503887382</v>
      </c>
      <c r="M18" s="25">
        <f t="shared" si="4"/>
        <v>0</v>
      </c>
      <c r="N18" s="53">
        <f t="shared" si="5"/>
        <v>0.05582487858695931</v>
      </c>
      <c r="O18" s="23">
        <f>306+1191</f>
        <v>1497</v>
      </c>
      <c r="P18" s="24">
        <f>4677+1023</f>
        <v>5700</v>
      </c>
      <c r="Q18" s="22">
        <f t="shared" si="11"/>
        <v>2.8076152304609217</v>
      </c>
      <c r="R18" s="25">
        <f t="shared" si="6"/>
        <v>0.023052697666103003</v>
      </c>
      <c r="S18" s="27">
        <f t="shared" si="7"/>
        <v>0.053528205250007684</v>
      </c>
      <c r="T18" s="1"/>
    </row>
    <row r="19" spans="1:20" ht="14.25">
      <c r="A19" s="12" t="s">
        <v>17</v>
      </c>
      <c r="B19" s="23">
        <v>592</v>
      </c>
      <c r="C19" s="23">
        <v>0</v>
      </c>
      <c r="D19" s="24">
        <f t="shared" si="8"/>
        <v>592</v>
      </c>
      <c r="E19" s="23">
        <v>920</v>
      </c>
      <c r="F19" s="23">
        <v>0</v>
      </c>
      <c r="G19" s="23">
        <f t="shared" si="9"/>
        <v>920</v>
      </c>
      <c r="H19" s="22">
        <f t="shared" si="10"/>
        <v>0.5540540540540541</v>
      </c>
      <c r="I19" s="25">
        <f t="shared" si="0"/>
        <v>0.07163202435488829</v>
      </c>
      <c r="J19" s="25">
        <f t="shared" si="1"/>
        <v>0</v>
      </c>
      <c r="K19" s="26">
        <f t="shared" si="2"/>
        <v>0.04105938768800969</v>
      </c>
      <c r="L19" s="25">
        <f t="shared" si="3"/>
        <v>0.027198501272706566</v>
      </c>
      <c r="M19" s="25">
        <f t="shared" si="4"/>
        <v>0</v>
      </c>
      <c r="N19" s="53">
        <f t="shared" si="5"/>
        <v>0.019595150057231045</v>
      </c>
      <c r="O19" s="23">
        <v>2232</v>
      </c>
      <c r="P19" s="24">
        <v>2983</v>
      </c>
      <c r="Q19" s="22">
        <f t="shared" si="11"/>
        <v>0.3364695340501792</v>
      </c>
      <c r="R19" s="25">
        <f t="shared" si="6"/>
        <v>0.03437115644004135</v>
      </c>
      <c r="S19" s="27">
        <f t="shared" si="7"/>
        <v>0.028013094080837353</v>
      </c>
      <c r="T19" s="1"/>
    </row>
    <row r="20" spans="1:20" ht="14.25">
      <c r="A20" s="12" t="s">
        <v>46</v>
      </c>
      <c r="B20" s="23">
        <v>1228</v>
      </c>
      <c r="C20" s="23">
        <v>0</v>
      </c>
      <c r="D20" s="24">
        <f t="shared" si="8"/>
        <v>1228</v>
      </c>
      <c r="E20" s="23">
        <v>2709</v>
      </c>
      <c r="F20" s="23">
        <v>7288</v>
      </c>
      <c r="G20" s="23">
        <f t="shared" si="9"/>
        <v>9997</v>
      </c>
      <c r="H20" s="22">
        <f t="shared" si="10"/>
        <v>7.140879478827362</v>
      </c>
      <c r="I20" s="25">
        <f t="shared" si="0"/>
        <v>0.1485880505199372</v>
      </c>
      <c r="J20" s="25">
        <f t="shared" si="1"/>
        <v>0</v>
      </c>
      <c r="K20" s="26">
        <f t="shared" si="2"/>
        <v>0.08517048662310119</v>
      </c>
      <c r="L20" s="25">
        <f t="shared" si="3"/>
        <v>0.08008776081278488</v>
      </c>
      <c r="M20" s="25">
        <f t="shared" si="4"/>
        <v>0.5552761904761905</v>
      </c>
      <c r="N20" s="53">
        <f t="shared" si="5"/>
        <v>0.2129268642631943</v>
      </c>
      <c r="O20" s="23">
        <v>7932</v>
      </c>
      <c r="P20" s="24">
        <v>16980</v>
      </c>
      <c r="Q20" s="22">
        <f t="shared" si="11"/>
        <v>1.140695915279879</v>
      </c>
      <c r="R20" s="25">
        <f t="shared" si="6"/>
        <v>0.1221469591767061</v>
      </c>
      <c r="S20" s="27">
        <f t="shared" si="7"/>
        <v>0.15945770616581237</v>
      </c>
      <c r="T20" s="1"/>
    </row>
    <row r="21" spans="1:20" ht="14.25">
      <c r="A21" s="12" t="s">
        <v>52</v>
      </c>
      <c r="B21" s="23">
        <v>0</v>
      </c>
      <c r="C21" s="23">
        <v>0</v>
      </c>
      <c r="D21" s="24">
        <f t="shared" si="8"/>
        <v>0</v>
      </c>
      <c r="E21" s="23">
        <v>0</v>
      </c>
      <c r="F21" s="23">
        <v>0</v>
      </c>
      <c r="G21" s="23">
        <f t="shared" si="9"/>
        <v>0</v>
      </c>
      <c r="H21" s="22">
        <f t="shared" si="10"/>
        <v>0</v>
      </c>
      <c r="I21" s="25">
        <f t="shared" si="0"/>
        <v>0</v>
      </c>
      <c r="J21" s="25">
        <f t="shared" si="1"/>
        <v>0</v>
      </c>
      <c r="K21" s="26">
        <f t="shared" si="2"/>
        <v>0</v>
      </c>
      <c r="L21" s="25">
        <f t="shared" si="3"/>
        <v>0</v>
      </c>
      <c r="M21" s="25">
        <f t="shared" si="4"/>
        <v>0</v>
      </c>
      <c r="N21" s="53">
        <f t="shared" si="5"/>
        <v>0</v>
      </c>
      <c r="O21" s="23">
        <v>7578</v>
      </c>
      <c r="P21" s="24">
        <v>7037</v>
      </c>
      <c r="Q21" s="22">
        <f t="shared" si="11"/>
        <v>-0.07139086830298232</v>
      </c>
      <c r="R21" s="25">
        <f t="shared" si="6"/>
        <v>0.11669561984885007</v>
      </c>
      <c r="S21" s="27">
        <f t="shared" si="7"/>
        <v>0.0660838562007551</v>
      </c>
      <c r="T21" s="1"/>
    </row>
    <row r="22" spans="1:20" ht="14.25">
      <c r="A22" s="12" t="s">
        <v>20</v>
      </c>
      <c r="B22" s="23">
        <v>0</v>
      </c>
      <c r="C22" s="23">
        <f>1216*0.73</f>
        <v>887.68</v>
      </c>
      <c r="D22" s="24">
        <f t="shared" si="8"/>
        <v>887.68</v>
      </c>
      <c r="E22" s="23">
        <v>0</v>
      </c>
      <c r="F22" s="23">
        <v>452</v>
      </c>
      <c r="G22" s="23">
        <f t="shared" si="9"/>
        <v>452</v>
      </c>
      <c r="H22" s="22">
        <f t="shared" si="10"/>
        <v>-0.49080749819754865</v>
      </c>
      <c r="I22" s="25">
        <f t="shared" si="0"/>
        <v>0</v>
      </c>
      <c r="J22" s="25">
        <f t="shared" si="1"/>
        <v>0.1442518948011596</v>
      </c>
      <c r="K22" s="26">
        <f t="shared" si="2"/>
        <v>0.061566887268399394</v>
      </c>
      <c r="L22" s="25">
        <f t="shared" si="3"/>
        <v>0</v>
      </c>
      <c r="M22" s="25">
        <f t="shared" si="4"/>
        <v>0.03443809523809524</v>
      </c>
      <c r="N22" s="53">
        <f t="shared" si="5"/>
        <v>0.009627182419422209</v>
      </c>
      <c r="O22" s="23">
        <f>1183*0.73</f>
        <v>863.59</v>
      </c>
      <c r="P22" s="24">
        <v>922</v>
      </c>
      <c r="Q22" s="22">
        <f t="shared" si="11"/>
        <v>0.0676362625783068</v>
      </c>
      <c r="R22" s="25">
        <f t="shared" si="6"/>
        <v>0.01329865008515023</v>
      </c>
      <c r="S22" s="27">
        <f t="shared" si="7"/>
        <v>0.008658421972018786</v>
      </c>
      <c r="T22" s="1"/>
    </row>
    <row r="23" spans="1:20" ht="14.25">
      <c r="A23" s="12" t="s">
        <v>21</v>
      </c>
      <c r="B23" s="23">
        <v>45</v>
      </c>
      <c r="C23" s="23">
        <v>0</v>
      </c>
      <c r="D23" s="24">
        <f t="shared" si="8"/>
        <v>45</v>
      </c>
      <c r="E23" s="23">
        <v>245</v>
      </c>
      <c r="F23" s="23">
        <v>0</v>
      </c>
      <c r="G23" s="23">
        <f t="shared" si="9"/>
        <v>245</v>
      </c>
      <c r="H23" s="22">
        <f t="shared" si="10"/>
        <v>4.444444444444445</v>
      </c>
      <c r="I23" s="25">
        <f t="shared" si="0"/>
        <v>0.00544500185130063</v>
      </c>
      <c r="J23" s="25">
        <f t="shared" si="1"/>
        <v>0</v>
      </c>
      <c r="K23" s="26">
        <f t="shared" si="2"/>
        <v>0.003121068320879115</v>
      </c>
      <c r="L23" s="25">
        <f t="shared" si="3"/>
        <v>0.007243079143275118</v>
      </c>
      <c r="M23" s="25">
        <f t="shared" si="4"/>
        <v>0</v>
      </c>
      <c r="N23" s="53">
        <f t="shared" si="5"/>
        <v>0.005218273656545223</v>
      </c>
      <c r="O23" s="23">
        <v>806</v>
      </c>
      <c r="P23" s="24">
        <v>663</v>
      </c>
      <c r="Q23" s="22">
        <f t="shared" si="11"/>
        <v>-0.1774193548387097</v>
      </c>
      <c r="R23" s="25">
        <f t="shared" si="6"/>
        <v>0.012411806492237155</v>
      </c>
      <c r="S23" s="27">
        <f t="shared" si="7"/>
        <v>0.0062261754527640515</v>
      </c>
      <c r="T23" s="1"/>
    </row>
    <row r="24" spans="1:20" ht="14.25">
      <c r="A24" s="12" t="s">
        <v>22</v>
      </c>
      <c r="B24" s="23">
        <v>206</v>
      </c>
      <c r="C24" s="23">
        <v>0</v>
      </c>
      <c r="D24" s="24">
        <f t="shared" si="8"/>
        <v>206</v>
      </c>
      <c r="E24" s="23">
        <v>402</v>
      </c>
      <c r="F24" s="23">
        <v>133</v>
      </c>
      <c r="G24" s="23">
        <f t="shared" si="9"/>
        <v>535</v>
      </c>
      <c r="H24" s="22">
        <f t="shared" si="10"/>
        <v>1.5970873786407767</v>
      </c>
      <c r="I24" s="25">
        <f t="shared" si="0"/>
        <v>0.024926008474842883</v>
      </c>
      <c r="J24" s="25">
        <f t="shared" si="1"/>
        <v>0</v>
      </c>
      <c r="K24" s="26">
        <f t="shared" si="2"/>
        <v>0.014287557202246615</v>
      </c>
      <c r="L24" s="25">
        <f t="shared" si="3"/>
        <v>0.011884562512639174</v>
      </c>
      <c r="M24" s="25">
        <f t="shared" si="4"/>
        <v>0.010133333333333333</v>
      </c>
      <c r="N24" s="53">
        <f t="shared" si="5"/>
        <v>0.011395005739802835</v>
      </c>
      <c r="O24" s="23">
        <v>2215</v>
      </c>
      <c r="P24" s="24">
        <v>2551</v>
      </c>
      <c r="Q24" s="22">
        <f t="shared" si="11"/>
        <v>0.15169300225733634</v>
      </c>
      <c r="R24" s="25">
        <f t="shared" si="6"/>
        <v>0.034109368958195156</v>
      </c>
      <c r="S24" s="27">
        <f t="shared" si="7"/>
        <v>0.023956219577678878</v>
      </c>
      <c r="T24" s="1"/>
    </row>
    <row r="25" spans="1:20" ht="14.25">
      <c r="A25" s="12" t="s">
        <v>25</v>
      </c>
      <c r="B25" s="23">
        <v>607</v>
      </c>
      <c r="C25" s="23">
        <v>5</v>
      </c>
      <c r="D25" s="24">
        <f t="shared" si="8"/>
        <v>612</v>
      </c>
      <c r="E25" s="23">
        <v>15</v>
      </c>
      <c r="F25" s="23">
        <v>108</v>
      </c>
      <c r="G25" s="23">
        <f t="shared" si="9"/>
        <v>123</v>
      </c>
      <c r="H25" s="22">
        <f t="shared" si="10"/>
        <v>-0.7990196078431373</v>
      </c>
      <c r="I25" s="25">
        <f t="shared" si="0"/>
        <v>0.0734470249719885</v>
      </c>
      <c r="J25" s="25">
        <f t="shared" si="1"/>
        <v>0.0008125219380923285</v>
      </c>
      <c r="K25" s="26">
        <f t="shared" si="2"/>
        <v>0.042446529163955964</v>
      </c>
      <c r="L25" s="25">
        <f t="shared" si="3"/>
        <v>0.00044345382509847664</v>
      </c>
      <c r="M25" s="25">
        <f t="shared" si="4"/>
        <v>0.008228571428571429</v>
      </c>
      <c r="N25" s="53">
        <f t="shared" si="5"/>
        <v>0.002619786366347194</v>
      </c>
      <c r="O25" s="23">
        <v>3222</v>
      </c>
      <c r="P25" s="24">
        <v>4399</v>
      </c>
      <c r="Q25" s="22">
        <f t="shared" si="11"/>
        <v>0.3653010552451893</v>
      </c>
      <c r="R25" s="25">
        <f t="shared" si="6"/>
        <v>0.04961642744167259</v>
      </c>
      <c r="S25" s="27">
        <f t="shared" si="7"/>
        <v>0.041310627174523475</v>
      </c>
      <c r="T25" s="1"/>
    </row>
    <row r="26" spans="1:20" ht="14.25">
      <c r="A26" s="12" t="s">
        <v>29</v>
      </c>
      <c r="B26" s="23">
        <v>376</v>
      </c>
      <c r="C26" s="23">
        <v>0</v>
      </c>
      <c r="D26" s="24">
        <f t="shared" si="8"/>
        <v>376</v>
      </c>
      <c r="E26" s="23">
        <v>17573</v>
      </c>
      <c r="F26" s="23">
        <v>0</v>
      </c>
      <c r="G26" s="23">
        <f t="shared" si="9"/>
        <v>17573</v>
      </c>
      <c r="H26" s="22">
        <f t="shared" si="10"/>
        <v>45.736702127659576</v>
      </c>
      <c r="I26" s="25">
        <f t="shared" si="0"/>
        <v>0.04549601546864526</v>
      </c>
      <c r="J26" s="25">
        <f t="shared" si="1"/>
        <v>0</v>
      </c>
      <c r="K26" s="26">
        <f t="shared" si="2"/>
        <v>0.026078259747789937</v>
      </c>
      <c r="L26" s="25">
        <f t="shared" si="3"/>
        <v>0.5195209378970354</v>
      </c>
      <c r="M26" s="25">
        <f t="shared" si="4"/>
        <v>0</v>
      </c>
      <c r="N26" s="53">
        <f t="shared" si="5"/>
        <v>0.3742886651692621</v>
      </c>
      <c r="O26" s="23">
        <v>3009</v>
      </c>
      <c r="P26" s="24">
        <v>21043</v>
      </c>
      <c r="Q26" s="22">
        <f t="shared" si="11"/>
        <v>5.993353273512795</v>
      </c>
      <c r="R26" s="25">
        <f t="shared" si="6"/>
        <v>0.046336384286776174</v>
      </c>
      <c r="S26" s="27">
        <f t="shared" si="7"/>
        <v>0.1976129865045459</v>
      </c>
      <c r="T26" s="1"/>
    </row>
    <row r="27" spans="1:20" ht="14.25">
      <c r="A27" s="12" t="s">
        <v>57</v>
      </c>
      <c r="B27" s="23">
        <f>3676+365</f>
        <v>4041</v>
      </c>
      <c r="C27" s="23">
        <v>4986</v>
      </c>
      <c r="D27" s="24">
        <f t="shared" si="8"/>
        <v>9027</v>
      </c>
      <c r="E27" s="23">
        <v>5408</v>
      </c>
      <c r="F27" s="23">
        <v>0</v>
      </c>
      <c r="G27" s="23">
        <f t="shared" si="9"/>
        <v>5408</v>
      </c>
      <c r="H27" s="22">
        <f t="shared" si="10"/>
        <v>-0.40090838595325134</v>
      </c>
      <c r="I27" s="25">
        <f t="shared" si="0"/>
        <v>0.4889611662467966</v>
      </c>
      <c r="J27" s="25">
        <f t="shared" si="1"/>
        <v>0.81024687666567</v>
      </c>
      <c r="K27" s="26">
        <f t="shared" si="2"/>
        <v>0.6260863051683504</v>
      </c>
      <c r="L27" s="25">
        <f t="shared" si="3"/>
        <v>0.15987988574217077</v>
      </c>
      <c r="M27" s="25">
        <f t="shared" si="4"/>
        <v>0</v>
      </c>
      <c r="N27" s="53">
        <f t="shared" si="5"/>
        <v>0.11518540381467987</v>
      </c>
      <c r="O27" s="23">
        <f>18312+3826</f>
        <v>22138</v>
      </c>
      <c r="P27" s="24">
        <v>21950</v>
      </c>
      <c r="Q27" s="22">
        <f t="shared" si="11"/>
        <v>-0.008492185382600053</v>
      </c>
      <c r="R27" s="25">
        <f t="shared" si="6"/>
        <v>0.34090889841829547</v>
      </c>
      <c r="S27" s="27">
        <f t="shared" si="7"/>
        <v>0.20613054477853834</v>
      </c>
      <c r="T27" s="1"/>
    </row>
    <row r="28" spans="1:20" ht="14.25">
      <c r="A28" s="12" t="s">
        <v>31</v>
      </c>
      <c r="B28" s="23">
        <v>185</v>
      </c>
      <c r="C28" s="23">
        <v>0</v>
      </c>
      <c r="D28" s="24">
        <f t="shared" si="8"/>
        <v>185</v>
      </c>
      <c r="E28" s="23">
        <v>774</v>
      </c>
      <c r="F28" s="23">
        <v>0</v>
      </c>
      <c r="G28" s="23">
        <f t="shared" si="9"/>
        <v>774</v>
      </c>
      <c r="H28" s="22">
        <f t="shared" si="10"/>
        <v>3.1837837837837837</v>
      </c>
      <c r="I28" s="25">
        <f t="shared" si="0"/>
        <v>0.02238500761090259</v>
      </c>
      <c r="J28" s="25">
        <f t="shared" si="1"/>
        <v>0</v>
      </c>
      <c r="K28" s="26">
        <f t="shared" si="2"/>
        <v>0.012831058652503028</v>
      </c>
      <c r="L28" s="25">
        <f t="shared" si="3"/>
        <v>0.022882217375081393</v>
      </c>
      <c r="M28" s="25">
        <f t="shared" si="4"/>
        <v>0</v>
      </c>
      <c r="N28" s="53">
        <f t="shared" si="5"/>
        <v>0.016485484939453073</v>
      </c>
      <c r="O28" s="23">
        <v>192</v>
      </c>
      <c r="P28" s="24">
        <v>945</v>
      </c>
      <c r="Q28" s="22">
        <f t="shared" si="11"/>
        <v>3.921875</v>
      </c>
      <c r="R28" s="25">
        <f t="shared" si="6"/>
        <v>0.0029566586184981807</v>
      </c>
      <c r="S28" s="27">
        <f t="shared" si="7"/>
        <v>0.008874412975659168</v>
      </c>
      <c r="T28" s="1"/>
    </row>
    <row r="29" spans="1:20" ht="15" thickBot="1">
      <c r="A29" s="12"/>
      <c r="B29" s="23"/>
      <c r="C29" s="23"/>
      <c r="D29" s="24"/>
      <c r="E29" s="23"/>
      <c r="F29" s="23"/>
      <c r="G29" s="23"/>
      <c r="H29" s="11"/>
      <c r="I29" s="25" t="s">
        <v>58</v>
      </c>
      <c r="J29" s="25" t="s">
        <v>58</v>
      </c>
      <c r="K29" s="42" t="s">
        <v>58</v>
      </c>
      <c r="L29" s="25" t="s">
        <v>58</v>
      </c>
      <c r="M29" s="25" t="s">
        <v>58</v>
      </c>
      <c r="N29" s="53" t="s">
        <v>58</v>
      </c>
      <c r="O29" s="23"/>
      <c r="P29" s="24"/>
      <c r="Q29" s="22" t="s">
        <v>58</v>
      </c>
      <c r="R29" s="25" t="s">
        <v>58</v>
      </c>
      <c r="S29" s="43" t="s">
        <v>58</v>
      </c>
      <c r="T29" s="1"/>
    </row>
    <row r="30" spans="1:20" ht="15" thickBot="1">
      <c r="A30" s="28" t="s">
        <v>33</v>
      </c>
      <c r="B30" s="29">
        <f>SUM(B11:B28)</f>
        <v>8264.46</v>
      </c>
      <c r="C30" s="29">
        <f aca="true" t="shared" si="12" ref="C30:S30">SUM(C11:C28)</f>
        <v>6153.68</v>
      </c>
      <c r="D30" s="30">
        <f t="shared" si="12"/>
        <v>14418.14</v>
      </c>
      <c r="E30" s="29">
        <f t="shared" si="12"/>
        <v>33825.3932</v>
      </c>
      <c r="F30" s="29">
        <f t="shared" si="12"/>
        <v>13125</v>
      </c>
      <c r="G30" s="29">
        <f t="shared" si="12"/>
        <v>46950.3932</v>
      </c>
      <c r="H30" s="31">
        <f t="shared" si="10"/>
        <v>2.2563418859852935</v>
      </c>
      <c r="I30" s="32">
        <f t="shared" si="12"/>
        <v>1.0000000000000002</v>
      </c>
      <c r="J30" s="32">
        <f t="shared" si="12"/>
        <v>1</v>
      </c>
      <c r="K30" s="33">
        <f t="shared" si="12"/>
        <v>0.9999999999999999</v>
      </c>
      <c r="L30" s="32">
        <f t="shared" si="12"/>
        <v>1</v>
      </c>
      <c r="M30" s="32">
        <f t="shared" si="12"/>
        <v>1</v>
      </c>
      <c r="N30" s="54">
        <f t="shared" si="12"/>
        <v>1</v>
      </c>
      <c r="O30" s="29">
        <f t="shared" si="12"/>
        <v>64938.17</v>
      </c>
      <c r="P30" s="29">
        <f t="shared" si="12"/>
        <v>106485.9166</v>
      </c>
      <c r="Q30" s="31">
        <f>(+P30-O30)/O30</f>
        <v>0.63980470345869</v>
      </c>
      <c r="R30" s="32">
        <f>SUM(R11:R28)</f>
        <v>1</v>
      </c>
      <c r="S30" s="34">
        <f t="shared" si="12"/>
        <v>1</v>
      </c>
      <c r="T30" s="1"/>
    </row>
    <row r="31" spans="1:20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">
      <c r="A36" s="1"/>
      <c r="B36" s="1"/>
      <c r="C36" s="2" t="s">
        <v>49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.75" thickBot="1">
      <c r="A37" s="1"/>
      <c r="B37" s="1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4.25">
      <c r="A38" s="5" t="str">
        <f>+A5</f>
        <v>Canadian Exchange Rate Used: 1996 = .7300  &amp; 1997 = .6966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7"/>
      <c r="T38" s="1"/>
    </row>
    <row r="39" spans="1:20" ht="14.2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0"/>
      <c r="T39" s="1"/>
    </row>
    <row r="40" spans="1:20" ht="14.25">
      <c r="A40" s="12"/>
      <c r="B40" s="9"/>
      <c r="C40" s="9" t="s">
        <v>77</v>
      </c>
      <c r="D40" s="9"/>
      <c r="E40" s="9"/>
      <c r="F40" s="9"/>
      <c r="G40" s="9"/>
      <c r="H40" s="11"/>
      <c r="I40" s="9"/>
      <c r="J40" s="9" t="s">
        <v>69</v>
      </c>
      <c r="K40" s="9"/>
      <c r="L40" s="9"/>
      <c r="M40" s="9"/>
      <c r="N40" s="46"/>
      <c r="O40" s="47" t="s">
        <v>47</v>
      </c>
      <c r="P40" s="47"/>
      <c r="Q40" s="9"/>
      <c r="R40" s="9"/>
      <c r="S40" s="10"/>
      <c r="T40" s="1"/>
    </row>
    <row r="41" spans="1:20" ht="14.25">
      <c r="A41" s="12"/>
      <c r="B41" s="9"/>
      <c r="C41" s="9">
        <v>1996</v>
      </c>
      <c r="D41" s="13"/>
      <c r="E41" s="9"/>
      <c r="F41" s="9">
        <v>1997</v>
      </c>
      <c r="G41" s="9"/>
      <c r="H41" s="14" t="s">
        <v>7</v>
      </c>
      <c r="I41" s="9"/>
      <c r="J41" s="9">
        <v>1996</v>
      </c>
      <c r="K41" s="13"/>
      <c r="L41" s="9"/>
      <c r="M41" s="9">
        <v>1997</v>
      </c>
      <c r="N41" s="46"/>
      <c r="O41" s="44">
        <v>1996</v>
      </c>
      <c r="P41" s="48">
        <v>1997</v>
      </c>
      <c r="Q41" s="14" t="s">
        <v>42</v>
      </c>
      <c r="R41" s="47" t="s">
        <v>43</v>
      </c>
      <c r="S41" s="49"/>
      <c r="T41" s="1"/>
    </row>
    <row r="42" spans="1:20" ht="15" thickBot="1">
      <c r="A42" s="15" t="s">
        <v>2</v>
      </c>
      <c r="B42" s="18" t="s">
        <v>39</v>
      </c>
      <c r="C42" s="18" t="s">
        <v>40</v>
      </c>
      <c r="D42" s="19" t="s">
        <v>6</v>
      </c>
      <c r="E42" s="18" t="s">
        <v>39</v>
      </c>
      <c r="F42" s="18" t="s">
        <v>40</v>
      </c>
      <c r="G42" s="18" t="s">
        <v>6</v>
      </c>
      <c r="H42" s="20" t="s">
        <v>8</v>
      </c>
      <c r="I42" s="18" t="s">
        <v>39</v>
      </c>
      <c r="J42" s="18" t="s">
        <v>40</v>
      </c>
      <c r="K42" s="19" t="s">
        <v>6</v>
      </c>
      <c r="L42" s="18" t="s">
        <v>39</v>
      </c>
      <c r="M42" s="18" t="s">
        <v>40</v>
      </c>
      <c r="N42" s="50" t="s">
        <v>6</v>
      </c>
      <c r="O42" s="18" t="s">
        <v>41</v>
      </c>
      <c r="P42" s="19" t="s">
        <v>41</v>
      </c>
      <c r="Q42" s="20" t="s">
        <v>40</v>
      </c>
      <c r="R42" s="51">
        <v>19.96</v>
      </c>
      <c r="S42" s="52">
        <v>19.97</v>
      </c>
      <c r="T42" s="1"/>
    </row>
    <row r="43" spans="1:20" ht="15" thickTop="1">
      <c r="A43" s="12"/>
      <c r="B43" s="9"/>
      <c r="C43" s="9"/>
      <c r="D43" s="13"/>
      <c r="E43" s="9"/>
      <c r="F43" s="9"/>
      <c r="G43" s="9"/>
      <c r="H43" s="11"/>
      <c r="I43" s="9"/>
      <c r="J43" s="9"/>
      <c r="K43" s="40"/>
      <c r="L43" s="9"/>
      <c r="M43" s="9"/>
      <c r="N43" s="55"/>
      <c r="O43" s="9"/>
      <c r="P43" s="13"/>
      <c r="Q43" s="11"/>
      <c r="R43" s="9"/>
      <c r="S43" s="10"/>
      <c r="T43" s="1"/>
    </row>
    <row r="44" spans="1:20" ht="14.25">
      <c r="A44" s="12" t="s">
        <v>17</v>
      </c>
      <c r="B44" s="23">
        <v>0</v>
      </c>
      <c r="C44" s="23">
        <v>0</v>
      </c>
      <c r="D44" s="24">
        <f aca="true" t="shared" si="13" ref="D44:D50">+C44+B44</f>
        <v>0</v>
      </c>
      <c r="E44" s="23">
        <v>221</v>
      </c>
      <c r="F44" s="23">
        <v>0</v>
      </c>
      <c r="G44" s="23">
        <f aca="true" t="shared" si="14" ref="G44:G50">+F44+E44</f>
        <v>221</v>
      </c>
      <c r="H44" s="22">
        <f aca="true" t="shared" si="15" ref="H44:H52">IF(+D44&gt;0,(+G44-D44)/D44,0)</f>
        <v>0</v>
      </c>
      <c r="I44" s="25">
        <f aca="true" t="shared" si="16" ref="I44:I50">+B44/$B$52</f>
        <v>0</v>
      </c>
      <c r="J44" s="25">
        <f aca="true" t="shared" si="17" ref="J44:J50">+C44/$C$52</f>
        <v>0</v>
      </c>
      <c r="K44" s="26">
        <f aca="true" t="shared" si="18" ref="K44:K50">+D44/$D$52</f>
        <v>0</v>
      </c>
      <c r="L44" s="25">
        <f aca="true" t="shared" si="19" ref="L44:L50">+E44/$E$52</f>
        <v>0.2241682142050021</v>
      </c>
      <c r="M44" s="25">
        <f aca="true" t="shared" si="20" ref="M44:M50">+F44/$F$52</f>
        <v>0</v>
      </c>
      <c r="N44" s="53">
        <f aca="true" t="shared" si="21" ref="N44:N50">+G44/$G$52</f>
        <v>0.11084100234371043</v>
      </c>
      <c r="O44" s="23">
        <v>0</v>
      </c>
      <c r="P44" s="24">
        <v>221</v>
      </c>
      <c r="Q44" s="22">
        <f aca="true" t="shared" si="22" ref="Q44:Q52">IF(+O44&gt;0,(+P44-O44)/O44,0)</f>
        <v>0</v>
      </c>
      <c r="R44" s="25">
        <f aca="true" t="shared" si="23" ref="R44:R50">+O44/$O$52</f>
        <v>0</v>
      </c>
      <c r="S44" s="27">
        <f aca="true" t="shared" si="24" ref="S44:S50">+P44/$P$52</f>
        <v>0.009664062072209472</v>
      </c>
      <c r="T44" s="1"/>
    </row>
    <row r="45" spans="1:20" ht="14.25">
      <c r="A45" s="12" t="s">
        <v>20</v>
      </c>
      <c r="B45" s="23">
        <v>0</v>
      </c>
      <c r="C45" s="23">
        <v>0</v>
      </c>
      <c r="D45" s="24">
        <f t="shared" si="13"/>
        <v>0</v>
      </c>
      <c r="E45" s="23">
        <v>0</v>
      </c>
      <c r="F45" s="23">
        <v>0</v>
      </c>
      <c r="G45" s="23">
        <f t="shared" si="14"/>
        <v>0</v>
      </c>
      <c r="H45" s="22">
        <f t="shared" si="15"/>
        <v>0</v>
      </c>
      <c r="I45" s="25">
        <f t="shared" si="16"/>
        <v>0</v>
      </c>
      <c r="J45" s="25">
        <f t="shared" si="17"/>
        <v>0</v>
      </c>
      <c r="K45" s="26">
        <f t="shared" si="18"/>
        <v>0</v>
      </c>
      <c r="L45" s="25">
        <f t="shared" si="19"/>
        <v>0</v>
      </c>
      <c r="M45" s="25">
        <f t="shared" si="20"/>
        <v>0</v>
      </c>
      <c r="N45" s="53">
        <f t="shared" si="21"/>
        <v>0</v>
      </c>
      <c r="O45" s="23">
        <f>18*0.73</f>
        <v>13.14</v>
      </c>
      <c r="P45" s="24">
        <v>14</v>
      </c>
      <c r="Q45" s="22">
        <f t="shared" si="22"/>
        <v>0.06544901065449006</v>
      </c>
      <c r="R45" s="25">
        <f t="shared" si="23"/>
        <v>0.0005724033622816677</v>
      </c>
      <c r="S45" s="27">
        <f t="shared" si="24"/>
        <v>0.0006122030271987901</v>
      </c>
      <c r="T45" s="1"/>
    </row>
    <row r="46" spans="1:20" ht="14.25">
      <c r="A46" s="12" t="s">
        <v>54</v>
      </c>
      <c r="B46" s="23">
        <v>258</v>
      </c>
      <c r="C46" s="23">
        <v>1906</v>
      </c>
      <c r="D46" s="24">
        <f t="shared" si="13"/>
        <v>2164</v>
      </c>
      <c r="E46" s="23">
        <f>367*0.6966</f>
        <v>255.6522</v>
      </c>
      <c r="F46" s="23">
        <f>1426*0.6966</f>
        <v>993.3516</v>
      </c>
      <c r="G46" s="23">
        <f t="shared" si="14"/>
        <v>1249.0038</v>
      </c>
      <c r="H46" s="22">
        <f t="shared" si="15"/>
        <v>-0.42282634011090575</v>
      </c>
      <c r="I46" s="25">
        <f t="shared" si="16"/>
        <v>0.554922246359667</v>
      </c>
      <c r="J46" s="25">
        <f t="shared" si="17"/>
        <v>0.863232456815732</v>
      </c>
      <c r="K46" s="26">
        <f t="shared" si="18"/>
        <v>0.8096045134329252</v>
      </c>
      <c r="L46" s="25">
        <f t="shared" si="19"/>
        <v>0.2593171815908599</v>
      </c>
      <c r="M46" s="25">
        <f t="shared" si="20"/>
        <v>0.9854872149274361</v>
      </c>
      <c r="N46" s="53">
        <f t="shared" si="21"/>
        <v>0.6264291091543133</v>
      </c>
      <c r="O46" s="23">
        <f>25653*0.73</f>
        <v>18726.69</v>
      </c>
      <c r="P46" s="24">
        <f>26404*0.6966</f>
        <v>18393.0264</v>
      </c>
      <c r="Q46" s="22">
        <f t="shared" si="22"/>
        <v>-0.017817542769170625</v>
      </c>
      <c r="R46" s="25">
        <f t="shared" si="23"/>
        <v>0.8157701918117568</v>
      </c>
      <c r="S46" s="27">
        <f t="shared" si="24"/>
        <v>0.804304745816233</v>
      </c>
      <c r="T46" s="1"/>
    </row>
    <row r="47" spans="1:20" ht="14.25">
      <c r="A47" s="12" t="s">
        <v>55</v>
      </c>
      <c r="B47" s="23">
        <f>241*0.73</f>
        <v>175.93</v>
      </c>
      <c r="C47" s="23">
        <f>26*0.73</f>
        <v>18.98</v>
      </c>
      <c r="D47" s="24">
        <f t="shared" si="13"/>
        <v>194.91</v>
      </c>
      <c r="E47" s="23">
        <f>253*0.6966</f>
        <v>176.2398</v>
      </c>
      <c r="F47" s="23">
        <f>21*0.6966</f>
        <v>14.6286</v>
      </c>
      <c r="G47" s="23">
        <f t="shared" si="14"/>
        <v>190.8684</v>
      </c>
      <c r="H47" s="22">
        <f t="shared" si="15"/>
        <v>-0.02073572418039089</v>
      </c>
      <c r="I47" s="25">
        <f t="shared" si="16"/>
        <v>0.37840104962037296</v>
      </c>
      <c r="J47" s="25">
        <f t="shared" si="17"/>
        <v>0.00859609235590902</v>
      </c>
      <c r="K47" s="26">
        <f t="shared" si="18"/>
        <v>0.07292052482126223</v>
      </c>
      <c r="L47" s="25">
        <f t="shared" si="19"/>
        <v>0.1787663404427454</v>
      </c>
      <c r="M47" s="25">
        <f t="shared" si="20"/>
        <v>0.014512785072563926</v>
      </c>
      <c r="N47" s="53">
        <f t="shared" si="21"/>
        <v>0.09572870937439032</v>
      </c>
      <c r="O47" s="23">
        <f>1156*0.73</f>
        <v>843.88</v>
      </c>
      <c r="P47" s="24">
        <f>1357*0.6966</f>
        <v>945.2862</v>
      </c>
      <c r="Q47" s="22">
        <f t="shared" si="22"/>
        <v>0.12016661136654502</v>
      </c>
      <c r="R47" s="25">
        <f t="shared" si="23"/>
        <v>0.03676101593320044</v>
      </c>
      <c r="S47" s="27">
        <f t="shared" si="24"/>
        <v>0.04133621951494578</v>
      </c>
      <c r="T47" s="1"/>
    </row>
    <row r="48" spans="1:20" ht="14.25">
      <c r="A48" s="12" t="s">
        <v>56</v>
      </c>
      <c r="B48" s="23">
        <v>0</v>
      </c>
      <c r="C48" s="23">
        <v>0</v>
      </c>
      <c r="D48" s="24">
        <f t="shared" si="13"/>
        <v>0</v>
      </c>
      <c r="E48" s="23">
        <f>468*0.6966</f>
        <v>326.0088</v>
      </c>
      <c r="F48" s="23">
        <v>0</v>
      </c>
      <c r="G48" s="23">
        <f t="shared" si="14"/>
        <v>326.0088</v>
      </c>
      <c r="H48" s="22">
        <f t="shared" si="15"/>
        <v>0</v>
      </c>
      <c r="I48" s="25">
        <f t="shared" si="16"/>
        <v>0</v>
      </c>
      <c r="J48" s="25">
        <f t="shared" si="17"/>
        <v>0</v>
      </c>
      <c r="K48" s="26">
        <f t="shared" si="18"/>
        <v>0</v>
      </c>
      <c r="L48" s="25">
        <f t="shared" si="19"/>
        <v>0.33068240050278597</v>
      </c>
      <c r="M48" s="25">
        <f t="shared" si="20"/>
        <v>0</v>
      </c>
      <c r="N48" s="53">
        <f t="shared" si="21"/>
        <v>0.1635074306102725</v>
      </c>
      <c r="O48" s="23">
        <v>0</v>
      </c>
      <c r="P48" s="24">
        <f>468*0.6966</f>
        <v>326.0088</v>
      </c>
      <c r="Q48" s="22">
        <f t="shared" si="22"/>
        <v>0</v>
      </c>
      <c r="R48" s="25">
        <f t="shared" si="23"/>
        <v>0</v>
      </c>
      <c r="S48" s="27">
        <f t="shared" si="24"/>
        <v>0.01425596958953178</v>
      </c>
      <c r="T48" s="1"/>
    </row>
    <row r="49" spans="1:20" ht="14.25">
      <c r="A49" s="12" t="s">
        <v>29</v>
      </c>
      <c r="B49" s="23">
        <v>0</v>
      </c>
      <c r="C49" s="23">
        <v>0</v>
      </c>
      <c r="D49" s="24">
        <f t="shared" si="13"/>
        <v>0</v>
      </c>
      <c r="E49" s="23">
        <v>0</v>
      </c>
      <c r="F49" s="23">
        <v>0</v>
      </c>
      <c r="G49" s="23">
        <f t="shared" si="14"/>
        <v>0</v>
      </c>
      <c r="H49" s="22">
        <f t="shared" si="15"/>
        <v>0</v>
      </c>
      <c r="I49" s="25">
        <f t="shared" si="16"/>
        <v>0</v>
      </c>
      <c r="J49" s="25">
        <f t="shared" si="17"/>
        <v>0</v>
      </c>
      <c r="K49" s="26">
        <f t="shared" si="18"/>
        <v>0</v>
      </c>
      <c r="L49" s="25">
        <f t="shared" si="19"/>
        <v>0</v>
      </c>
      <c r="M49" s="25">
        <f t="shared" si="20"/>
        <v>0</v>
      </c>
      <c r="N49" s="53">
        <f t="shared" si="21"/>
        <v>0</v>
      </c>
      <c r="O49" s="23">
        <f>81*0.73</f>
        <v>59.129999999999995</v>
      </c>
      <c r="P49" s="24">
        <f>43*0.6966</f>
        <v>29.9538</v>
      </c>
      <c r="Q49" s="22">
        <f t="shared" si="22"/>
        <v>-0.4934246575342465</v>
      </c>
      <c r="R49" s="25">
        <f t="shared" si="23"/>
        <v>0.0025758151302675046</v>
      </c>
      <c r="S49" s="27">
        <f t="shared" si="24"/>
        <v>0.001309843359721937</v>
      </c>
      <c r="T49" s="1"/>
    </row>
    <row r="50" spans="1:20" ht="14.25">
      <c r="A50" s="12" t="s">
        <v>57</v>
      </c>
      <c r="B50" s="23">
        <f>27+4</f>
        <v>31</v>
      </c>
      <c r="C50" s="23">
        <v>283</v>
      </c>
      <c r="D50" s="24">
        <f t="shared" si="13"/>
        <v>314</v>
      </c>
      <c r="E50" s="23">
        <f>10*0.6966</f>
        <v>6.966</v>
      </c>
      <c r="F50" s="23">
        <v>0</v>
      </c>
      <c r="G50" s="23">
        <f t="shared" si="14"/>
        <v>6.966</v>
      </c>
      <c r="H50" s="22">
        <f t="shared" si="15"/>
        <v>-0.9778152866242038</v>
      </c>
      <c r="I50" s="25">
        <f t="shared" si="16"/>
        <v>0.06667670401996</v>
      </c>
      <c r="J50" s="25">
        <f t="shared" si="17"/>
        <v>0.12817145082835896</v>
      </c>
      <c r="K50" s="26">
        <f t="shared" si="18"/>
        <v>0.11747496174581262</v>
      </c>
      <c r="L50" s="25">
        <f t="shared" si="19"/>
        <v>0.007065863258606538</v>
      </c>
      <c r="M50" s="25">
        <f t="shared" si="20"/>
        <v>0</v>
      </c>
      <c r="N50" s="53">
        <f t="shared" si="21"/>
        <v>0.003493748517313515</v>
      </c>
      <c r="O50" s="23">
        <f>1837+1476</f>
        <v>3313</v>
      </c>
      <c r="P50" s="24">
        <f>4219*0.6966</f>
        <v>2938.9554</v>
      </c>
      <c r="Q50" s="22">
        <f t="shared" si="22"/>
        <v>-0.11290208270449749</v>
      </c>
      <c r="R50" s="25">
        <f t="shared" si="23"/>
        <v>0.14432057376249355</v>
      </c>
      <c r="S50" s="27">
        <f t="shared" si="24"/>
        <v>0.12851695662015933</v>
      </c>
      <c r="T50" s="1"/>
    </row>
    <row r="51" spans="1:20" ht="15" thickBot="1">
      <c r="A51" s="12"/>
      <c r="B51" s="23"/>
      <c r="C51" s="23"/>
      <c r="D51" s="24"/>
      <c r="E51" s="23"/>
      <c r="F51" s="23"/>
      <c r="G51" s="23"/>
      <c r="H51" s="11"/>
      <c r="I51" s="25" t="s">
        <v>58</v>
      </c>
      <c r="J51" s="25" t="s">
        <v>58</v>
      </c>
      <c r="K51" s="42" t="s">
        <v>58</v>
      </c>
      <c r="L51" s="25" t="s">
        <v>58</v>
      </c>
      <c r="M51" s="25" t="s">
        <v>58</v>
      </c>
      <c r="N51" s="53" t="s">
        <v>58</v>
      </c>
      <c r="O51" s="23"/>
      <c r="P51" s="24"/>
      <c r="Q51" s="22" t="s">
        <v>58</v>
      </c>
      <c r="R51" s="25" t="s">
        <v>58</v>
      </c>
      <c r="S51" s="27" t="s">
        <v>58</v>
      </c>
      <c r="T51" s="1"/>
    </row>
    <row r="52" spans="1:20" ht="15" thickBot="1">
      <c r="A52" s="28" t="s">
        <v>33</v>
      </c>
      <c r="B52" s="29">
        <f aca="true" t="shared" si="25" ref="B52:G52">SUM(B44:B50)</f>
        <v>464.93</v>
      </c>
      <c r="C52" s="29">
        <f t="shared" si="25"/>
        <v>2207.98</v>
      </c>
      <c r="D52" s="30">
        <f t="shared" si="25"/>
        <v>2672.91</v>
      </c>
      <c r="E52" s="29">
        <f t="shared" si="25"/>
        <v>985.8668000000001</v>
      </c>
      <c r="F52" s="29">
        <f t="shared" si="25"/>
        <v>1007.9802</v>
      </c>
      <c r="G52" s="29">
        <f t="shared" si="25"/>
        <v>1993.847</v>
      </c>
      <c r="H52" s="31">
        <f t="shared" si="15"/>
        <v>-0.2540538214904355</v>
      </c>
      <c r="I52" s="32">
        <f aca="true" t="shared" si="26" ref="I52:P52">SUM(I44:I50)</f>
        <v>0.9999999999999999</v>
      </c>
      <c r="J52" s="32">
        <f t="shared" si="26"/>
        <v>1</v>
      </c>
      <c r="K52" s="33">
        <f t="shared" si="26"/>
        <v>1</v>
      </c>
      <c r="L52" s="32">
        <f t="shared" si="26"/>
        <v>1</v>
      </c>
      <c r="M52" s="32">
        <f t="shared" si="26"/>
        <v>1</v>
      </c>
      <c r="N52" s="54">
        <f t="shared" si="26"/>
        <v>1</v>
      </c>
      <c r="O52" s="29">
        <f t="shared" si="26"/>
        <v>22955.84</v>
      </c>
      <c r="P52" s="29">
        <f t="shared" si="26"/>
        <v>22868.230599999995</v>
      </c>
      <c r="Q52" s="31">
        <f t="shared" si="22"/>
        <v>-0.0038164318970686684</v>
      </c>
      <c r="R52" s="32">
        <f>SUM(R44:R50)</f>
        <v>1</v>
      </c>
      <c r="S52" s="34">
        <f>SUM(S44:S50)</f>
        <v>1.0000000000000002</v>
      </c>
      <c r="T52" s="1"/>
    </row>
    <row r="53" spans="1:20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</sheetData>
  <sheetProtection/>
  <printOptions/>
  <pageMargins left="0.75" right="0.75" top="1" bottom="1" header="0.5" footer="0.5"/>
  <pageSetup fitToHeight="1" fitToWidth="1" horizontalDpi="300" verticalDpi="3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MARC-Life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bruggeman</dc:creator>
  <cp:keywords/>
  <dc:description/>
  <cp:lastModifiedBy>Sullivan Carol - Atlanta-MARC</cp:lastModifiedBy>
  <cp:lastPrinted>1998-04-17T13:52:23Z</cp:lastPrinted>
  <dcterms:created xsi:type="dcterms:W3CDTF">1998-03-27T18:48:13Z</dcterms:created>
  <dcterms:modified xsi:type="dcterms:W3CDTF">2019-10-03T15:23:44Z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5d0447-72b7-4595-8ee5-b32b4892557e_Enabled">
    <vt:lpwstr>True</vt:lpwstr>
  </property>
  <property fmtid="{D5CDD505-2E9C-101B-9397-08002B2CF9AE}" pid="3" name="MSIP_Label_f45d0447-72b7-4595-8ee5-b32b4892557e_SiteId">
    <vt:lpwstr>582259a1-dcaa-4cca-b1cf-e60d3f045ecd</vt:lpwstr>
  </property>
  <property fmtid="{D5CDD505-2E9C-101B-9397-08002B2CF9AE}" pid="4" name="MSIP_Label_f45d0447-72b7-4595-8ee5-b32b4892557e_Owner">
    <vt:lpwstr>csullivan@munichre.com</vt:lpwstr>
  </property>
  <property fmtid="{D5CDD505-2E9C-101B-9397-08002B2CF9AE}" pid="5" name="MSIP_Label_f45d0447-72b7-4595-8ee5-b32b4892557e_SetDate">
    <vt:lpwstr>2019-10-03T15:23:29.8238757Z</vt:lpwstr>
  </property>
  <property fmtid="{D5CDD505-2E9C-101B-9397-08002B2CF9AE}" pid="6" name="MSIP_Label_f45d0447-72b7-4595-8ee5-b32b4892557e_Name">
    <vt:lpwstr>Public unrestricted (C1)</vt:lpwstr>
  </property>
  <property fmtid="{D5CDD505-2E9C-101B-9397-08002B2CF9AE}" pid="7" name="MSIP_Label_f45d0447-72b7-4595-8ee5-b32b4892557e_Application">
    <vt:lpwstr>Microsoft Azure Information Protection</vt:lpwstr>
  </property>
  <property fmtid="{D5CDD505-2E9C-101B-9397-08002B2CF9AE}" pid="8" name="MSIP_Label_f45d0447-72b7-4595-8ee5-b32b4892557e_ActionId">
    <vt:lpwstr>6cf1bab0-72a8-433e-a4a0-7bc94e77965b</vt:lpwstr>
  </property>
  <property fmtid="{D5CDD505-2E9C-101B-9397-08002B2CF9AE}" pid="9" name="MSIP_Label_f45d0447-72b7-4595-8ee5-b32b4892557e_Extended_MSFT_Method">
    <vt:lpwstr>Manual</vt:lpwstr>
  </property>
  <property fmtid="{D5CDD505-2E9C-101B-9397-08002B2CF9AE}" pid="10" name="Sensitivity">
    <vt:lpwstr>Public unrestricted (C1)</vt:lpwstr>
  </property>
</Properties>
</file>